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Incentives\"/>
    </mc:Choice>
  </mc:AlternateContent>
  <xr:revisionPtr revIDLastSave="0" documentId="13_ncr:1_{A1C3E01D-AECA-4F25-A76D-B648C56BC89B}" xr6:coauthVersionLast="47" xr6:coauthVersionMax="47" xr10:uidLastSave="{00000000-0000-0000-0000-000000000000}"/>
  <bookViews>
    <workbookView xWindow="-120" yWindow="-120" windowWidth="29040" windowHeight="15720" tabRatio="761" xr2:uid="{9248DD24-0E89-45F4-8F3C-831196976E86}"/>
  </bookViews>
  <sheets>
    <sheet name="Application" sheetId="1" r:id="rId1"/>
    <sheet name="General_Info" sheetId="2" r:id="rId2"/>
    <sheet name="Residential" sheetId="3" r:id="rId3"/>
    <sheet name="Retail-Hotel" sheetId="5" r:id="rId4"/>
    <sheet name="Office-Industrial" sheetId="6" r:id="rId5"/>
    <sheet name="Parking-Misc" sheetId="7" r:id="rId6"/>
    <sheet name="Economic Activity" sheetId="8" r:id="rId7"/>
    <sheet name="Sources-Uses" sheetId="9" r:id="rId8"/>
    <sheet name="Incentive_Request" sheetId="10" r:id="rId9"/>
    <sheet name="DropDowns" sheetId="14" state="hidden" r:id="rId10"/>
  </sheets>
  <externalReferences>
    <externalReference r:id="rId11"/>
  </externalReferences>
  <definedNames>
    <definedName name="Abate1_5">Incentive_Request!$C$17</definedName>
    <definedName name="Abate11_15">Incentive_Request!$C$19</definedName>
    <definedName name="Abate16_20">Incentive_Request!$C$20</definedName>
    <definedName name="Abate21_25">Incentive_Request!$C$21</definedName>
    <definedName name="Abate6_10">Incentive_Request!$C$18</definedName>
    <definedName name="CityCommRate">#REF!</definedName>
    <definedName name="CityResRate">#REF!</definedName>
    <definedName name="CommAssessRate">#REF!</definedName>
    <definedName name="CommTaxRate">#REF!</definedName>
    <definedName name="CompletionYear">General_Info!$E$3</definedName>
    <definedName name="CostOfEquity">'Sources-Uses'!$C$32</definedName>
    <definedName name="DebtConstant">'Sources-Uses'!$C$30</definedName>
    <definedName name="DebtRate">'Sources-Uses'!$C$28</definedName>
    <definedName name="DebtTerm">'Sources-Uses'!$C$29</definedName>
    <definedName name="DeferFee">'Sources-Uses'!$C$13</definedName>
    <definedName name="DevEquity">'Sources-Uses'!$C$11</definedName>
    <definedName name="EGR_NOI">#REF!</definedName>
    <definedName name="EquipClass">DropDowns!$T$4:$T$67</definedName>
    <definedName name="FirstYearHotel">'Retail-Hotel'!$D$64</definedName>
    <definedName name="FirstYearIndust">'Office-Industrial'!$C$59</definedName>
    <definedName name="FirstYearOffice">'Office-Industrial'!$C$6</definedName>
    <definedName name="FirstYearOther">'Parking-Misc'!$D$36</definedName>
    <definedName name="FirstYearParking">'Parking-Misc'!$D$6</definedName>
    <definedName name="FirstYearResid">Residential!$C$6</definedName>
    <definedName name="FirstYearRetail">'Retail-Hotel'!$C$6</definedName>
    <definedName name="Incl_4sale">General_Info!$C$28</definedName>
    <definedName name="Incl_hotel">General_Info!$C$30</definedName>
    <definedName name="Incl_indust">General_Info!$C$32</definedName>
    <definedName name="Incl_office">General_Info!$C$31</definedName>
    <definedName name="Incl_other">General_Info!$C$34</definedName>
    <definedName name="Incl_parking">General_Info!$C$33</definedName>
    <definedName name="Incl_rental">General_Info!$C$27</definedName>
    <definedName name="Incl_retail">General_Info!$C$29</definedName>
    <definedName name="IndustNNN">'Office-Industrial'!$C$60</definedName>
    <definedName name="Months">DropDowns!$Q$4:$Q$15</definedName>
    <definedName name="MVA">DropDowns!$F$4:$F$12</definedName>
    <definedName name="MVACode">General_Info!$E$16</definedName>
    <definedName name="Neighborhoods">DropDowns!$O$4:$O$84</definedName>
    <definedName name="NetProjCost">#REF!</definedName>
    <definedName name="OfficeNNN">'Office-Industrial'!$C$7</definedName>
    <definedName name="OtherSource">'Sources-Uses'!$C$14</definedName>
    <definedName name="ParkingCapture">#REF!</definedName>
    <definedName name="ParkingSales">#REF!</definedName>
    <definedName name="PayrollCapture">#REF!</definedName>
    <definedName name="PayrollHotel">'Retail-Hotel'!$C$98</definedName>
    <definedName name="PayrollInd">'Office-Industrial'!$G$104</definedName>
    <definedName name="PayrollMisc">'Parking-Misc'!$C$55</definedName>
    <definedName name="PayrollOffice">'Office-Industrial'!$G$51</definedName>
    <definedName name="PayrollParking">'Parking-Misc'!$C$27</definedName>
    <definedName name="PayrollRetail">'Retail-Hotel'!$G$51</definedName>
    <definedName name="PILOTFee">#REF!</definedName>
    <definedName name="_xlnm.Print_Area" localSheetId="0">Application!$A$1:$E$144</definedName>
    <definedName name="PrivateDebt">'Sources-Uses'!$C$10</definedName>
    <definedName name="Proj_Address">Application!$E$72</definedName>
    <definedName name="Proj_Parcel_No">Application!$E$73</definedName>
    <definedName name="ProjName">Application!$E$58</definedName>
    <definedName name="ProjNeigh">General_Info!$E$13</definedName>
    <definedName name="ProjZIP">General_Info!$E$14</definedName>
    <definedName name="PSWOutput_23" hidden="1">#REF!</definedName>
    <definedName name="PSWOutput_24" hidden="1">#REF!</definedName>
    <definedName name="ResAssessRate">#REF!</definedName>
    <definedName name="ResPPTaxRate">#REF!</definedName>
    <definedName name="RestCapture">#REF!</definedName>
    <definedName name="RestSales">#REF!</definedName>
    <definedName name="RetailCapture">#REF!</definedName>
    <definedName name="RetailNNN">'Retail-Hotel'!$C$7</definedName>
    <definedName name="RetailSales">#REF!</definedName>
    <definedName name="SalesPercentGrocery">'Economic Activity'!$I$13</definedName>
    <definedName name="SalesPercentRestaurant">'Economic Activity'!$I$12</definedName>
    <definedName name="SalesPercentRetail">'Economic Activity'!$I$14</definedName>
    <definedName name="SLUP">DropDowns!$M$4:$M$13</definedName>
    <definedName name="SpreadsheetWEBUserRole" hidden="1">[1]PSW_Sheet!$E$1</definedName>
    <definedName name="StabilYear">General_Info!$E$6</definedName>
    <definedName name="StartYear">General_Info!$E$5</definedName>
    <definedName name="TIFBalance">#REF!</definedName>
    <definedName name="TIFDuration">Incentive_Request!$C$7</definedName>
    <definedName name="TIFNoteYears">#REF!</definedName>
    <definedName name="TIFReq">Incentive_Request!$C$4</definedName>
    <definedName name="TIFStartYear">Incentive_Request!$C$5</definedName>
    <definedName name="TIFValue">Incentive_Request!$C$8</definedName>
    <definedName name="TIFYears">#REF!</definedName>
    <definedName name="TotalAV">General_Info!$E$22</definedName>
    <definedName name="TotalMV">General_Info!$E$21</definedName>
    <definedName name="TotalPayroll">#REF!</definedName>
    <definedName name="TotalRETax">General_Info!$E$23</definedName>
    <definedName name="UtilCapture">#REF!</definedName>
    <definedName name="UtilSales">#REF!</definedName>
    <definedName name="ZIPList">DropDowns!$J$4:$J$22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6" l="1"/>
  <c r="D99" i="6"/>
  <c r="E99" i="6"/>
  <c r="F99" i="6"/>
  <c r="G99" i="6"/>
  <c r="H99" i="6"/>
  <c r="D46" i="6"/>
  <c r="C46" i="6"/>
  <c r="D46" i="5"/>
  <c r="E46" i="5"/>
  <c r="F46" i="5"/>
  <c r="G46" i="5"/>
  <c r="H46" i="5"/>
  <c r="C46" i="5"/>
  <c r="E11" i="2"/>
  <c r="D29" i="8" l="1"/>
  <c r="C16" i="9"/>
  <c r="E29" i="8"/>
  <c r="F29" i="8"/>
  <c r="G29" i="8" s="1"/>
  <c r="H29" i="8" s="1"/>
  <c r="C29" i="8" l="1"/>
  <c r="C30" i="9" l="1"/>
  <c r="J36" i="8"/>
  <c r="K36" i="8"/>
  <c r="J37" i="8"/>
  <c r="K37" i="8"/>
  <c r="J38" i="8"/>
  <c r="K38" i="8"/>
  <c r="J39" i="8"/>
  <c r="K39" i="8"/>
  <c r="J40" i="8"/>
  <c r="K40" i="8"/>
  <c r="J41" i="8"/>
  <c r="K41" i="8"/>
  <c r="J42" i="8"/>
  <c r="K42" i="8"/>
  <c r="K35" i="8"/>
  <c r="J35" i="8"/>
  <c r="C6" i="8" l="1"/>
  <c r="G6" i="8" l="1"/>
  <c r="H6" i="8"/>
  <c r="I6" i="8" s="1"/>
  <c r="F6" i="8"/>
  <c r="E6" i="8"/>
  <c r="D6" i="8"/>
  <c r="F35" i="7" l="1"/>
  <c r="F5" i="7"/>
  <c r="E58" i="6"/>
  <c r="E5" i="6"/>
  <c r="F63" i="5"/>
  <c r="E5" i="5"/>
  <c r="E5" i="3"/>
  <c r="C24" i="9"/>
  <c r="G14" i="2"/>
  <c r="I14" i="8" l="1"/>
  <c r="G63" i="6" l="1"/>
  <c r="E66" i="1" l="1"/>
  <c r="C112" i="6" l="1"/>
  <c r="H57" i="9"/>
  <c r="G55" i="9"/>
  <c r="C23" i="9" s="1"/>
  <c r="G50" i="9"/>
  <c r="C22" i="9" s="1"/>
  <c r="G44" i="9"/>
  <c r="C21" i="9" s="1"/>
  <c r="G21" i="9"/>
  <c r="G6" i="9"/>
  <c r="D24" i="8"/>
  <c r="C24" i="8" s="1"/>
  <c r="D17" i="8"/>
  <c r="E17" i="8" s="1"/>
  <c r="F17" i="8" s="1"/>
  <c r="G17" i="8" s="1"/>
  <c r="H17" i="8" s="1"/>
  <c r="I17" i="8" s="1"/>
  <c r="D14" i="8"/>
  <c r="E14" i="8"/>
  <c r="F14" i="8"/>
  <c r="G14" i="8"/>
  <c r="H14" i="8"/>
  <c r="C14" i="8"/>
  <c r="D3" i="8"/>
  <c r="C3" i="8" s="1"/>
  <c r="C43" i="7"/>
  <c r="C51" i="7" s="1"/>
  <c r="C56" i="7"/>
  <c r="D49" i="7"/>
  <c r="E49" i="7" s="1"/>
  <c r="F49" i="7" s="1"/>
  <c r="G49" i="7" s="1"/>
  <c r="H49" i="7" s="1"/>
  <c r="I49" i="7" s="1"/>
  <c r="I47" i="7"/>
  <c r="H47" i="7"/>
  <c r="G47" i="7"/>
  <c r="F47" i="7"/>
  <c r="E47" i="7"/>
  <c r="D47" i="7"/>
  <c r="C47" i="7"/>
  <c r="D45" i="7"/>
  <c r="E45" i="7" s="1"/>
  <c r="F45" i="7" s="1"/>
  <c r="G45" i="7" s="1"/>
  <c r="H45" i="7" s="1"/>
  <c r="I45" i="7" s="1"/>
  <c r="D42" i="7"/>
  <c r="C42" i="7" s="1"/>
  <c r="D40" i="7"/>
  <c r="D19" i="7"/>
  <c r="E19" i="7"/>
  <c r="F19" i="7"/>
  <c r="G19" i="7"/>
  <c r="H19" i="7"/>
  <c r="I19" i="7"/>
  <c r="C19" i="7"/>
  <c r="D10" i="7"/>
  <c r="D12" i="7" s="1"/>
  <c r="C28" i="7"/>
  <c r="D21" i="7"/>
  <c r="E21" i="7" s="1"/>
  <c r="F21" i="7" s="1"/>
  <c r="G21" i="7" s="1"/>
  <c r="H21" i="7" s="1"/>
  <c r="I21" i="7" s="1"/>
  <c r="D17" i="7"/>
  <c r="C17" i="7" s="1"/>
  <c r="C15" i="7"/>
  <c r="C23" i="7" s="1"/>
  <c r="D14" i="7"/>
  <c r="E14" i="7" s="1"/>
  <c r="F14" i="7" s="1"/>
  <c r="G14" i="7" s="1"/>
  <c r="H14" i="7" s="1"/>
  <c r="I14" i="7" s="1"/>
  <c r="F105" i="6"/>
  <c r="E105" i="6"/>
  <c r="D105" i="6"/>
  <c r="C105" i="6"/>
  <c r="G104" i="6"/>
  <c r="G103" i="6"/>
  <c r="B98" i="6"/>
  <c r="B97" i="6"/>
  <c r="B96" i="6"/>
  <c r="B95" i="6"/>
  <c r="D94" i="6"/>
  <c r="E94" i="6" s="1"/>
  <c r="F94" i="6" s="1"/>
  <c r="G94" i="6" s="1"/>
  <c r="H94" i="6" s="1"/>
  <c r="I94" i="6" s="1"/>
  <c r="D85" i="6"/>
  <c r="E85" i="6" s="1"/>
  <c r="F85" i="6" s="1"/>
  <c r="G85" i="6" s="1"/>
  <c r="H85" i="6" s="1"/>
  <c r="I85" i="6" s="1"/>
  <c r="C83" i="6"/>
  <c r="D78" i="6"/>
  <c r="E78" i="6" s="1"/>
  <c r="F78" i="6" s="1"/>
  <c r="G78" i="6" s="1"/>
  <c r="H78" i="6" s="1"/>
  <c r="I78" i="6" s="1"/>
  <c r="C76" i="6"/>
  <c r="D71" i="6"/>
  <c r="E71" i="6" s="1"/>
  <c r="F71" i="6" s="1"/>
  <c r="G71" i="6" s="1"/>
  <c r="H71" i="6" s="1"/>
  <c r="I71" i="6" s="1"/>
  <c r="F66" i="6"/>
  <c r="F67" i="6" s="1"/>
  <c r="F69" i="6" s="1"/>
  <c r="E66" i="6"/>
  <c r="E67" i="6" s="1"/>
  <c r="E69" i="6" s="1"/>
  <c r="D66" i="6"/>
  <c r="D67" i="6" s="1"/>
  <c r="D69" i="6" s="1"/>
  <c r="C66" i="6"/>
  <c r="C67" i="6" s="1"/>
  <c r="C69" i="6" s="1"/>
  <c r="G65" i="6"/>
  <c r="G64" i="6"/>
  <c r="F52" i="6"/>
  <c r="E52" i="6"/>
  <c r="D52" i="6"/>
  <c r="C52" i="6"/>
  <c r="G51" i="6"/>
  <c r="G50" i="6"/>
  <c r="B45" i="6"/>
  <c r="B44" i="6"/>
  <c r="B43" i="6"/>
  <c r="E42" i="6"/>
  <c r="E46" i="6" s="1"/>
  <c r="B42" i="6"/>
  <c r="D41" i="6"/>
  <c r="E41" i="6" s="1"/>
  <c r="F41" i="6" s="1"/>
  <c r="G41" i="6" s="1"/>
  <c r="H41" i="6" s="1"/>
  <c r="I41" i="6" s="1"/>
  <c r="D32" i="6"/>
  <c r="E32" i="6" s="1"/>
  <c r="F32" i="6" s="1"/>
  <c r="G32" i="6" s="1"/>
  <c r="H32" i="6" s="1"/>
  <c r="I32" i="6" s="1"/>
  <c r="C29" i="6"/>
  <c r="D29" i="6" s="1"/>
  <c r="E29" i="6" s="1"/>
  <c r="F29" i="6" s="1"/>
  <c r="G29" i="6" s="1"/>
  <c r="H29" i="6" s="1"/>
  <c r="C28" i="6"/>
  <c r="D28" i="6" s="1"/>
  <c r="E28" i="6" s="1"/>
  <c r="F28" i="6" s="1"/>
  <c r="G28" i="6" s="1"/>
  <c r="H28" i="6" s="1"/>
  <c r="C27" i="6"/>
  <c r="D27" i="6" s="1"/>
  <c r="E27" i="6" s="1"/>
  <c r="F27" i="6" s="1"/>
  <c r="G27" i="6" s="1"/>
  <c r="H27" i="6" s="1"/>
  <c r="C26" i="6"/>
  <c r="D25" i="6"/>
  <c r="E25" i="6" s="1"/>
  <c r="F25" i="6" s="1"/>
  <c r="G25" i="6" s="1"/>
  <c r="H25" i="6" s="1"/>
  <c r="I25" i="6" s="1"/>
  <c r="C22" i="6"/>
  <c r="D22" i="6" s="1"/>
  <c r="E22" i="6" s="1"/>
  <c r="F22" i="6" s="1"/>
  <c r="G22" i="6" s="1"/>
  <c r="H22" i="6" s="1"/>
  <c r="C21" i="6"/>
  <c r="D21" i="6" s="1"/>
  <c r="E21" i="6" s="1"/>
  <c r="F21" i="6" s="1"/>
  <c r="G21" i="6" s="1"/>
  <c r="H21" i="6" s="1"/>
  <c r="C20" i="6"/>
  <c r="D20" i="6" s="1"/>
  <c r="E20" i="6" s="1"/>
  <c r="F20" i="6" s="1"/>
  <c r="G20" i="6" s="1"/>
  <c r="H20" i="6" s="1"/>
  <c r="C19" i="6"/>
  <c r="D18" i="6"/>
  <c r="E18" i="6" s="1"/>
  <c r="F18" i="6" s="1"/>
  <c r="G18" i="6" s="1"/>
  <c r="H18" i="6" s="1"/>
  <c r="I18" i="6" s="1"/>
  <c r="F13" i="6"/>
  <c r="F14" i="6" s="1"/>
  <c r="E13" i="6"/>
  <c r="E14" i="6" s="1"/>
  <c r="E16" i="6" s="1"/>
  <c r="D13" i="6"/>
  <c r="D14" i="6" s="1"/>
  <c r="D16" i="6" s="1"/>
  <c r="C13" i="6"/>
  <c r="C14" i="6" s="1"/>
  <c r="G12" i="6"/>
  <c r="G11" i="6"/>
  <c r="G10" i="6"/>
  <c r="C99" i="5"/>
  <c r="C23" i="6" l="1"/>
  <c r="C30" i="6"/>
  <c r="H50" i="9"/>
  <c r="H55" i="9"/>
  <c r="C19" i="9"/>
  <c r="H44" i="9"/>
  <c r="C20" i="9"/>
  <c r="G59" i="9"/>
  <c r="J59" i="9" s="1"/>
  <c r="H21" i="9"/>
  <c r="H6" i="9"/>
  <c r="D83" i="6"/>
  <c r="C38" i="9"/>
  <c r="C41" i="9" s="1"/>
  <c r="D26" i="6"/>
  <c r="D30" i="6" s="1"/>
  <c r="G66" i="6"/>
  <c r="G13" i="6"/>
  <c r="C92" i="6"/>
  <c r="C100" i="6" s="1"/>
  <c r="G105" i="6"/>
  <c r="G52" i="6"/>
  <c r="C39" i="6"/>
  <c r="C47" i="6" s="1"/>
  <c r="E24" i="8"/>
  <c r="F24" i="8" s="1"/>
  <c r="G24" i="8" s="1"/>
  <c r="H24" i="8" s="1"/>
  <c r="I24" i="8" s="1"/>
  <c r="C32" i="6"/>
  <c r="C17" i="8"/>
  <c r="E3" i="8"/>
  <c r="F3" i="8" s="1"/>
  <c r="G3" i="8" s="1"/>
  <c r="H3" i="8" s="1"/>
  <c r="I3" i="8" s="1"/>
  <c r="E42" i="7"/>
  <c r="F42" i="7" s="1"/>
  <c r="G42" i="7" s="1"/>
  <c r="H42" i="7" s="1"/>
  <c r="I42" i="7" s="1"/>
  <c r="D43" i="7"/>
  <c r="D51" i="7" s="1"/>
  <c r="C49" i="7"/>
  <c r="C45" i="7"/>
  <c r="E17" i="7"/>
  <c r="F17" i="7" s="1"/>
  <c r="G17" i="7" s="1"/>
  <c r="H17" i="7" s="1"/>
  <c r="I17" i="7" s="1"/>
  <c r="D15" i="7"/>
  <c r="D23" i="7" s="1"/>
  <c r="C21" i="7"/>
  <c r="C14" i="7"/>
  <c r="C41" i="6"/>
  <c r="G67" i="6"/>
  <c r="G69" i="6"/>
  <c r="C85" i="6"/>
  <c r="D76" i="6"/>
  <c r="C94" i="6"/>
  <c r="F95" i="6"/>
  <c r="F16" i="6"/>
  <c r="F42" i="6"/>
  <c r="F46" i="6" s="1"/>
  <c r="D19" i="6"/>
  <c r="D23" i="6" s="1"/>
  <c r="G14" i="6"/>
  <c r="C90" i="6" s="1"/>
  <c r="C16" i="6"/>
  <c r="G68" i="6" l="1"/>
  <c r="H90" i="6"/>
  <c r="I90" i="6"/>
  <c r="G90" i="6"/>
  <c r="C37" i="6"/>
  <c r="F90" i="6"/>
  <c r="I37" i="6"/>
  <c r="E90" i="6"/>
  <c r="H37" i="6"/>
  <c r="D90" i="6"/>
  <c r="G37" i="6"/>
  <c r="F37" i="6"/>
  <c r="E37" i="6"/>
  <c r="D37" i="6"/>
  <c r="C25" i="9"/>
  <c r="C44" i="9"/>
  <c r="C46" i="9" s="1"/>
  <c r="C55" i="9" s="1"/>
  <c r="C56" i="9" s="1"/>
  <c r="C58" i="9" s="1"/>
  <c r="C59" i="9" s="1"/>
  <c r="I21" i="9"/>
  <c r="I59" i="9"/>
  <c r="I57" i="9"/>
  <c r="I55" i="9"/>
  <c r="I50" i="9"/>
  <c r="I44" i="9"/>
  <c r="I6" i="9"/>
  <c r="H59" i="9"/>
  <c r="E83" i="6"/>
  <c r="E26" i="6"/>
  <c r="E30" i="6" s="1"/>
  <c r="E43" i="7"/>
  <c r="E51" i="7" s="1"/>
  <c r="E15" i="7"/>
  <c r="E23" i="7" s="1"/>
  <c r="G95" i="6"/>
  <c r="D92" i="6"/>
  <c r="D100" i="6" s="1"/>
  <c r="E76" i="6"/>
  <c r="D39" i="6"/>
  <c r="D47" i="6" s="1"/>
  <c r="E19" i="6"/>
  <c r="E23" i="6" s="1"/>
  <c r="G42" i="6"/>
  <c r="G46" i="6" s="1"/>
  <c r="G16" i="6"/>
  <c r="G15" i="6" s="1"/>
  <c r="C49" i="9" l="1"/>
  <c r="C48" i="9"/>
  <c r="F60" i="9"/>
  <c r="D25" i="9"/>
  <c r="D16" i="9"/>
  <c r="F91" i="6"/>
  <c r="F83" i="6"/>
  <c r="I38" i="6"/>
  <c r="H38" i="6"/>
  <c r="C91" i="6"/>
  <c r="F38" i="6"/>
  <c r="E91" i="6"/>
  <c r="F26" i="6"/>
  <c r="F30" i="6" s="1"/>
  <c r="G91" i="6"/>
  <c r="H91" i="6"/>
  <c r="C38" i="6"/>
  <c r="D91" i="6"/>
  <c r="I91" i="6"/>
  <c r="F43" i="7"/>
  <c r="F51" i="7" s="1"/>
  <c r="F15" i="7"/>
  <c r="F23" i="7" s="1"/>
  <c r="F76" i="6"/>
  <c r="E92" i="6"/>
  <c r="E100" i="6" s="1"/>
  <c r="H95" i="6"/>
  <c r="G38" i="6"/>
  <c r="H42" i="6"/>
  <c r="H46" i="6" s="1"/>
  <c r="E38" i="6"/>
  <c r="E39" i="6"/>
  <c r="E47" i="6" s="1"/>
  <c r="F19" i="6"/>
  <c r="F23" i="6" s="1"/>
  <c r="D38" i="6"/>
  <c r="G83" i="6" l="1"/>
  <c r="G15" i="7"/>
  <c r="G23" i="7" s="1"/>
  <c r="G26" i="6"/>
  <c r="G30" i="6" s="1"/>
  <c r="G43" i="7"/>
  <c r="G51" i="7" s="1"/>
  <c r="G76" i="6"/>
  <c r="F92" i="6"/>
  <c r="F100" i="6" s="1"/>
  <c r="G19" i="6"/>
  <c r="G23" i="6" s="1"/>
  <c r="F39" i="6"/>
  <c r="F47" i="6" s="1"/>
  <c r="H83" i="6" l="1"/>
  <c r="H15" i="7"/>
  <c r="H23" i="7" s="1"/>
  <c r="H26" i="6"/>
  <c r="H30" i="6" s="1"/>
  <c r="H43" i="7"/>
  <c r="H51" i="7" s="1"/>
  <c r="G92" i="6"/>
  <c r="G100" i="6" s="1"/>
  <c r="H76" i="6"/>
  <c r="H19" i="6"/>
  <c r="H23" i="6" s="1"/>
  <c r="G39" i="6"/>
  <c r="G47" i="6" s="1"/>
  <c r="C109" i="6" l="1"/>
  <c r="C110" i="6" s="1"/>
  <c r="C111" i="6" s="1"/>
  <c r="H92" i="6"/>
  <c r="H100" i="6" s="1"/>
  <c r="H39" i="6"/>
  <c r="H47" i="6" s="1"/>
  <c r="D81" i="5"/>
  <c r="E81" i="5"/>
  <c r="F81" i="5"/>
  <c r="G81" i="5"/>
  <c r="H81" i="5"/>
  <c r="I81" i="5"/>
  <c r="C81" i="5"/>
  <c r="D84" i="5"/>
  <c r="E84" i="5" s="1"/>
  <c r="F84" i="5" s="1"/>
  <c r="G84" i="5" s="1"/>
  <c r="H84" i="5" s="1"/>
  <c r="I84" i="5" s="1"/>
  <c r="D79" i="5"/>
  <c r="C79" i="5" s="1"/>
  <c r="D75" i="5"/>
  <c r="D69" i="5"/>
  <c r="D52" i="5"/>
  <c r="E52" i="5"/>
  <c r="F52" i="5"/>
  <c r="C52" i="5"/>
  <c r="G10" i="5"/>
  <c r="G51" i="5"/>
  <c r="G50" i="5"/>
  <c r="B45" i="5"/>
  <c r="B44" i="5"/>
  <c r="B43" i="5"/>
  <c r="B42" i="5"/>
  <c r="C29" i="5"/>
  <c r="C28" i="5"/>
  <c r="C27" i="5"/>
  <c r="C26" i="5"/>
  <c r="D25" i="5"/>
  <c r="E25" i="5" s="1"/>
  <c r="F25" i="5" s="1"/>
  <c r="G25" i="5" s="1"/>
  <c r="H25" i="5" s="1"/>
  <c r="I25" i="5" s="1"/>
  <c r="D13" i="5"/>
  <c r="D14" i="5" s="1"/>
  <c r="D16" i="5" s="1"/>
  <c r="E13" i="5"/>
  <c r="E14" i="5" s="1"/>
  <c r="E16" i="5" s="1"/>
  <c r="F13" i="5"/>
  <c r="F14" i="5" s="1"/>
  <c r="F16" i="5" s="1"/>
  <c r="C13" i="5"/>
  <c r="D41" i="5"/>
  <c r="E41" i="5" s="1"/>
  <c r="F41" i="5" s="1"/>
  <c r="G41" i="5" s="1"/>
  <c r="H41" i="5" s="1"/>
  <c r="I41" i="5" s="1"/>
  <c r="D32" i="5"/>
  <c r="C32" i="5" s="1"/>
  <c r="C22" i="5"/>
  <c r="C21" i="5"/>
  <c r="C20" i="5"/>
  <c r="C19" i="5"/>
  <c r="D18" i="5"/>
  <c r="E18" i="5" s="1"/>
  <c r="F18" i="5" s="1"/>
  <c r="G18" i="5" s="1"/>
  <c r="H18" i="5" s="1"/>
  <c r="I18" i="5" s="1"/>
  <c r="D64" i="3"/>
  <c r="I67" i="3"/>
  <c r="I66" i="3"/>
  <c r="I65" i="3"/>
  <c r="F59" i="3"/>
  <c r="E59" i="3"/>
  <c r="D59" i="3"/>
  <c r="F57" i="3"/>
  <c r="E57" i="3"/>
  <c r="D57" i="3"/>
  <c r="F53" i="3"/>
  <c r="E53" i="3"/>
  <c r="D53" i="3"/>
  <c r="D45" i="3"/>
  <c r="C45" i="3"/>
  <c r="B44" i="3"/>
  <c r="B43" i="3"/>
  <c r="B42" i="3"/>
  <c r="B41" i="3"/>
  <c r="D40" i="3"/>
  <c r="E40" i="3" s="1"/>
  <c r="F40" i="3" s="1"/>
  <c r="G40" i="3" s="1"/>
  <c r="H40" i="3" s="1"/>
  <c r="I40" i="3" s="1"/>
  <c r="D31" i="3"/>
  <c r="C31" i="3" s="1"/>
  <c r="D25" i="3"/>
  <c r="D12" i="3"/>
  <c r="E12" i="3"/>
  <c r="F12" i="3"/>
  <c r="G9" i="3"/>
  <c r="F13" i="3"/>
  <c r="F15" i="3" s="1"/>
  <c r="E13" i="3"/>
  <c r="E15" i="3" s="1"/>
  <c r="D13" i="3"/>
  <c r="D15" i="3" s="1"/>
  <c r="C13" i="3"/>
  <c r="C12" i="3"/>
  <c r="E22" i="2"/>
  <c r="E12" i="2"/>
  <c r="C38" i="3" l="1"/>
  <c r="C46" i="3" s="1"/>
  <c r="C23" i="5"/>
  <c r="C30" i="5"/>
  <c r="E67" i="1"/>
  <c r="C82" i="5"/>
  <c r="E65" i="1"/>
  <c r="D68" i="3"/>
  <c r="G10" i="3"/>
  <c r="E64" i="1" s="1"/>
  <c r="C15" i="3"/>
  <c r="G15" i="3" s="1"/>
  <c r="E64" i="3"/>
  <c r="F64" i="3" s="1"/>
  <c r="G64" i="3" s="1"/>
  <c r="H64" i="3" s="1"/>
  <c r="E25" i="3"/>
  <c r="F25" i="3" s="1"/>
  <c r="G25" i="3" s="1"/>
  <c r="H25" i="3" s="1"/>
  <c r="I25" i="3" s="1"/>
  <c r="C25" i="3"/>
  <c r="D30" i="5"/>
  <c r="D71" i="5"/>
  <c r="D73" i="5" s="1"/>
  <c r="G12" i="5"/>
  <c r="G11" i="5"/>
  <c r="C14" i="5"/>
  <c r="G14" i="5" s="1"/>
  <c r="G13" i="5"/>
  <c r="E75" i="5"/>
  <c r="F75" i="5" s="1"/>
  <c r="G75" i="5" s="1"/>
  <c r="H75" i="5" s="1"/>
  <c r="I75" i="5" s="1"/>
  <c r="C75" i="5"/>
  <c r="C84" i="5"/>
  <c r="E79" i="5"/>
  <c r="F79" i="5" s="1"/>
  <c r="G79" i="5" s="1"/>
  <c r="H79" i="5" s="1"/>
  <c r="I79" i="5" s="1"/>
  <c r="G52" i="5"/>
  <c r="C39" i="5"/>
  <c r="C47" i="5" s="1"/>
  <c r="C41" i="5"/>
  <c r="E32" i="5"/>
  <c r="F32" i="5" s="1"/>
  <c r="G32" i="5" s="1"/>
  <c r="H32" i="5" s="1"/>
  <c r="I32" i="5" s="1"/>
  <c r="C68" i="3"/>
  <c r="H68" i="3"/>
  <c r="G68" i="3"/>
  <c r="F68" i="3"/>
  <c r="E68" i="3"/>
  <c r="G45" i="3"/>
  <c r="E45" i="3"/>
  <c r="F45" i="3"/>
  <c r="C40" i="3"/>
  <c r="G11" i="3"/>
  <c r="E31" i="3"/>
  <c r="F31" i="3" s="1"/>
  <c r="G31" i="3" s="1"/>
  <c r="H31" i="3" s="1"/>
  <c r="I31" i="3" s="1"/>
  <c r="G13" i="3"/>
  <c r="E36" i="3" s="1"/>
  <c r="D38" i="3" l="1"/>
  <c r="D46" i="3" s="1"/>
  <c r="G14" i="3"/>
  <c r="D23" i="5"/>
  <c r="C16" i="5"/>
  <c r="G16" i="5" s="1"/>
  <c r="G15" i="5" s="1"/>
  <c r="G37" i="5"/>
  <c r="D37" i="5"/>
  <c r="H37" i="5"/>
  <c r="E37" i="5"/>
  <c r="I37" i="5"/>
  <c r="F37" i="5"/>
  <c r="C37" i="5"/>
  <c r="C86" i="5"/>
  <c r="C92" i="5"/>
  <c r="C88" i="5"/>
  <c r="C90" i="5"/>
  <c r="C59" i="5"/>
  <c r="I36" i="3"/>
  <c r="D36" i="3"/>
  <c r="C36" i="3"/>
  <c r="H36" i="3"/>
  <c r="G36" i="3"/>
  <c r="F36" i="3"/>
  <c r="G12" i="3"/>
  <c r="E30" i="5"/>
  <c r="E23" i="5"/>
  <c r="D82" i="5"/>
  <c r="D39" i="5"/>
  <c r="D47" i="5" s="1"/>
  <c r="H45" i="3"/>
  <c r="G17" i="3"/>
  <c r="E38" i="3" l="1"/>
  <c r="E46" i="3" s="1"/>
  <c r="C94" i="5"/>
  <c r="D92" i="5"/>
  <c r="D90" i="5"/>
  <c r="D88" i="5"/>
  <c r="D86" i="5"/>
  <c r="E82" i="5"/>
  <c r="F23" i="5"/>
  <c r="E39" i="5"/>
  <c r="E47" i="5" s="1"/>
  <c r="F30" i="5"/>
  <c r="D38" i="5"/>
  <c r="C38" i="5"/>
  <c r="I38" i="5"/>
  <c r="F38" i="5"/>
  <c r="G38" i="5"/>
  <c r="H38" i="5"/>
  <c r="E38" i="5"/>
  <c r="F37" i="3"/>
  <c r="G37" i="3"/>
  <c r="E37" i="3"/>
  <c r="I37" i="3"/>
  <c r="C37" i="3"/>
  <c r="H37" i="3"/>
  <c r="D37" i="3"/>
  <c r="G23" i="5" l="1"/>
  <c r="F38" i="3"/>
  <c r="F46" i="3" s="1"/>
  <c r="E88" i="5"/>
  <c r="E92" i="5"/>
  <c r="E90" i="5"/>
  <c r="E86" i="5"/>
  <c r="G82" i="5"/>
  <c r="F82" i="5"/>
  <c r="G30" i="5"/>
  <c r="F39" i="5"/>
  <c r="F47" i="5" s="1"/>
  <c r="D94" i="5"/>
  <c r="H23" i="5" l="1"/>
  <c r="H38" i="3"/>
  <c r="H46" i="3" s="1"/>
  <c r="G38" i="3"/>
  <c r="G46" i="3" s="1"/>
  <c r="E94" i="5"/>
  <c r="G86" i="5"/>
  <c r="G92" i="5"/>
  <c r="G88" i="5"/>
  <c r="G90" i="5"/>
  <c r="F88" i="5"/>
  <c r="F92" i="5"/>
  <c r="F90" i="5"/>
  <c r="F86" i="5"/>
  <c r="H82" i="5"/>
  <c r="I82" i="5" s="1"/>
  <c r="H30" i="5"/>
  <c r="G39" i="5"/>
  <c r="G47" i="5" s="1"/>
  <c r="F94" i="5" l="1"/>
  <c r="G94" i="5"/>
  <c r="H90" i="5"/>
  <c r="H86" i="5"/>
  <c r="H92" i="5"/>
  <c r="H88" i="5"/>
  <c r="H39" i="5"/>
  <c r="H47" i="5" s="1"/>
  <c r="H94" i="5" l="1"/>
  <c r="C56" i="5" l="1"/>
  <c r="C57" i="5" s="1"/>
  <c r="C5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Stark</author>
  </authors>
  <commentList>
    <comment ref="E76" authorId="0" shapeId="0" xr:uid="{CCDC0892-7311-416A-A294-3CA01724F91E}">
      <text>
        <r>
          <rPr>
            <sz val="9"/>
            <color indexed="81"/>
            <rFont val="Tahoma"/>
            <family val="2"/>
          </rPr>
          <t xml:space="preserve">Land Use, MVA, Zoning and related information can be found at http://dynamic.stlouis-mo.gov/citydata/
</t>
        </r>
      </text>
    </comment>
    <comment ref="E85" authorId="0" shapeId="0" xr:uid="{A5F64686-7BDA-431A-BE42-0C025518081F}">
      <text>
        <r>
          <rPr>
            <sz val="9"/>
            <color indexed="81"/>
            <rFont val="Tahoma"/>
            <family val="2"/>
          </rPr>
          <t xml:space="preserve">Land Use, MVA, Zoning and related information can be found at http://dynamic.stlouis-mo.gov/citydata/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Stark</author>
  </authors>
  <commentList>
    <comment ref="B32" authorId="0" shapeId="0" xr:uid="{C553C5AD-4EBD-4BEE-85D5-A99A5E6D5BF0}">
      <text>
        <r>
          <rPr>
            <b/>
            <sz val="9"/>
            <color indexed="81"/>
            <rFont val="Tahoma"/>
            <family val="2"/>
          </rPr>
          <t>Bold</t>
        </r>
        <r>
          <rPr>
            <sz val="9"/>
            <color indexed="81"/>
            <rFont val="Tahoma"/>
            <family val="2"/>
          </rPr>
          <t xml:space="preserve"> cells are lease-up; normal are stabilized.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 Stark</author>
  </authors>
  <commentList>
    <comment ref="B33" authorId="0" shapeId="0" xr:uid="{FC75F009-81AA-4EA6-999B-57A39F1400D4}">
      <text>
        <r>
          <rPr>
            <b/>
            <sz val="9"/>
            <color indexed="81"/>
            <rFont val="Tahoma"/>
            <family val="2"/>
          </rPr>
          <t>Bold</t>
        </r>
        <r>
          <rPr>
            <sz val="9"/>
            <color indexed="81"/>
            <rFont val="Tahoma"/>
            <family val="2"/>
          </rPr>
          <t xml:space="preserve"> cells are lease-up; normal are stabilized.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 Stark</author>
  </authors>
  <commentList>
    <comment ref="B33" authorId="0" shapeId="0" xr:uid="{3A37E103-BA34-470C-8CF6-94E25EF5C810}">
      <text>
        <r>
          <rPr>
            <b/>
            <sz val="9"/>
            <color indexed="81"/>
            <rFont val="Tahoma"/>
            <family val="2"/>
          </rPr>
          <t>Bold</t>
        </r>
        <r>
          <rPr>
            <sz val="9"/>
            <color indexed="81"/>
            <rFont val="Tahoma"/>
            <family val="2"/>
          </rPr>
          <t xml:space="preserve"> cells are lease-up; normal are stabilized.</t>
        </r>
      </text>
    </comment>
    <comment ref="B86" authorId="0" shapeId="0" xr:uid="{A86B97A2-5ED4-4FAF-A5D5-2693969A11B4}">
      <text>
        <r>
          <rPr>
            <b/>
            <sz val="9"/>
            <color indexed="81"/>
            <rFont val="Tahoma"/>
            <family val="2"/>
          </rPr>
          <t>Bold</t>
        </r>
        <r>
          <rPr>
            <sz val="9"/>
            <color indexed="81"/>
            <rFont val="Tahoma"/>
            <family val="2"/>
          </rPr>
          <t xml:space="preserve"> cells are lease-up; normal are stabilized.</t>
        </r>
      </text>
    </comment>
  </commentList>
</comments>
</file>

<file path=xl/sharedStrings.xml><?xml version="1.0" encoding="utf-8"?>
<sst xmlns="http://schemas.openxmlformats.org/spreadsheetml/2006/main" count="950" uniqueCount="662">
  <si>
    <t>Application for Incentives - SLDC</t>
  </si>
  <si>
    <t>I.  Applicant Information</t>
  </si>
  <si>
    <t>Ia.  Affiliate Companies</t>
  </si>
  <si>
    <t>Name of parent or affiliate firm:</t>
  </si>
  <si>
    <t>Name and Title of Responsible Officer:</t>
  </si>
  <si>
    <t>Street Address:</t>
  </si>
  <si>
    <t>City, State, ZIP:</t>
  </si>
  <si>
    <t>Telephone Number:</t>
  </si>
  <si>
    <t>Applicant (Developers Name):</t>
  </si>
  <si>
    <t>E-Mail Address:</t>
  </si>
  <si>
    <t>IRS Number of Applicant:</t>
  </si>
  <si>
    <t>Attorney/Authorized Representative of Applicant:</t>
  </si>
  <si>
    <t>Project Name:</t>
  </si>
  <si>
    <t>Brief Description of Proposed Project:</t>
  </si>
  <si>
    <t>Condition of the Project Area:</t>
  </si>
  <si>
    <t># of Residential Units Proposed:</t>
  </si>
  <si>
    <t>Residential Square Feet in Proposed Development:</t>
  </si>
  <si>
    <t>Commercial Square Feet in Proposed Development:</t>
  </si>
  <si>
    <t>Industrial Square Feet in Proposed Development:</t>
  </si>
  <si>
    <t># of Proposed Off-Street Parking Spaces:</t>
  </si>
  <si>
    <t>Property Address</t>
  </si>
  <si>
    <t>Parcel #(s)</t>
  </si>
  <si>
    <t>Number of parcels</t>
  </si>
  <si>
    <t>Existing land uses:</t>
  </si>
  <si>
    <t>Number of Existing Residential Occupants:</t>
  </si>
  <si>
    <t>Number of Existing Commercial Occupants:</t>
  </si>
  <si>
    <t>Relocation Required: List all relocated and characteristics:</t>
  </si>
  <si>
    <t>Date of Blighting Study:</t>
  </si>
  <si>
    <t>Is Project in an Enterprise Zone?</t>
  </si>
  <si>
    <t>Strategic Land Use Plan designation of property:</t>
  </si>
  <si>
    <t>Proposed Use of Property:</t>
  </si>
  <si>
    <t>Present Zoning of Property:</t>
  </si>
  <si>
    <t>SLDC to fill out</t>
  </si>
  <si>
    <t># of Current Off-Street Parking Spaces:</t>
  </si>
  <si>
    <t>Years applicant has been in business</t>
  </si>
  <si>
    <t>Applicant Business Type</t>
  </si>
  <si>
    <t>Names and Affiliations of Applicant Board of Directors</t>
  </si>
  <si>
    <t>Director #1</t>
  </si>
  <si>
    <t>Director #2</t>
  </si>
  <si>
    <t>Director #3</t>
  </si>
  <si>
    <t>Director #4</t>
  </si>
  <si>
    <t>Owner #1</t>
  </si>
  <si>
    <t>Owner #2</t>
  </si>
  <si>
    <t>Owner #3</t>
  </si>
  <si>
    <t>II. Ownership, Management &amp; Financial Responsibility</t>
  </si>
  <si>
    <t>Name</t>
  </si>
  <si>
    <t>Affiliations</t>
  </si>
  <si>
    <t>If propietorship, partnership or closed corp, list names of owners and percentages owned:</t>
  </si>
  <si>
    <t>% Ownership</t>
  </si>
  <si>
    <t>Is applicant publicly owned?</t>
  </si>
  <si>
    <t>If yes, is it registered under the Securities Exchange Act of 1934?</t>
  </si>
  <si>
    <t>If the Applicant is a subsidiary or affiliate, will the parent company or affiliate(s) be financially responsible for payment of debt financing?</t>
  </si>
  <si>
    <t>CDA or other grants required for Project?</t>
  </si>
  <si>
    <t>Source(s) of Debt Financing:</t>
  </si>
  <si>
    <t>Name of Applicant's Auditor(s):</t>
  </si>
  <si>
    <t>If Yes, have grants been approved?</t>
  </si>
  <si>
    <t>III.  Project Description</t>
  </si>
  <si>
    <t>IV.  Property Description</t>
  </si>
  <si>
    <t>V.  Type of Business</t>
  </si>
  <si>
    <t>What type of business is proposed to be conducted by the Applicant or tenants at the Project location?  Please describe in detail the precise nature of activites to be undertaken in the facility, including a list of any products to be manufactured, assembled or processed, as well as services to be rendered.</t>
  </si>
  <si>
    <t>State the location, size, number of jobs and nature of operations of all existing facilities of the Applicant in the STL region:</t>
  </si>
  <si>
    <t>Where will the headquarters of the new St. Louis operation be located?</t>
  </si>
  <si>
    <t>Month/year when construction is estimated to begin:</t>
  </si>
  <si>
    <t>Month/year when operations are estimated to begin:</t>
  </si>
  <si>
    <t>Is this an expansion, replacement or relocation of another facility?</t>
  </si>
  <si>
    <t>If this is a proposed expansion or relocation, state the location and size (jobs) of current operation:</t>
  </si>
  <si>
    <t>VI.  Property Ownership and Acquisition Information</t>
  </si>
  <si>
    <t>Current Property Owner:</t>
  </si>
  <si>
    <t>Will property be purchased from present owner?</t>
  </si>
  <si>
    <t>Has a sales contract or option been signed?</t>
  </si>
  <si>
    <t>What is the sale or option price?</t>
  </si>
  <si>
    <t>If Yes, what was the purchase price from the last arms-length transaction?</t>
  </si>
  <si>
    <t>Is this contract between common parties?</t>
  </si>
  <si>
    <t>How long has property been owned by present owner (years)?</t>
  </si>
  <si>
    <t>No</t>
  </si>
  <si>
    <t>Applicant's share of costs to extend utility services to the property:</t>
  </si>
  <si>
    <t>Please describe anticipated numbers of personnel required to staff the facility.</t>
  </si>
  <si>
    <t>Category</t>
  </si>
  <si>
    <t>Number</t>
  </si>
  <si>
    <t>Average Annual Wage</t>
  </si>
  <si>
    <t>Top and middle management:</t>
  </si>
  <si>
    <t>Line supervisory:</t>
  </si>
  <si>
    <t>Sales:</t>
  </si>
  <si>
    <t>Clerical:</t>
  </si>
  <si>
    <t>Skilled labor:</t>
  </si>
  <si>
    <t>Semiskilled labor:</t>
  </si>
  <si>
    <t>Unskilled labor:</t>
  </si>
  <si>
    <t>Current FTEs in project area (pre-project):</t>
  </si>
  <si>
    <t>Applicant Name:</t>
  </si>
  <si>
    <t>Applicant Title:</t>
  </si>
  <si>
    <t>Date Signed:</t>
  </si>
  <si>
    <t>Non-Collusive Affidavit</t>
  </si>
  <si>
    <t>Map of All Properties Included</t>
  </si>
  <si>
    <t>Set of photos of property front and rear</t>
  </si>
  <si>
    <t>Architectural drawings incl. floor plans, elev. &amp; site plan</t>
  </si>
  <si>
    <t>Please ensure that each attachment below is uploaded to this page:</t>
  </si>
  <si>
    <t>I.a If the Applicant is a subsidiary or affiliate of another firm(s), list the following concerning the parent or affiliate company(s):</t>
  </si>
  <si>
    <t>Project Information</t>
  </si>
  <si>
    <t>Year of completion:</t>
  </si>
  <si>
    <t>Month of completion:</t>
  </si>
  <si>
    <t>First full year of operations:</t>
  </si>
  <si>
    <t>First full year of stabilization (entire project):</t>
  </si>
  <si>
    <t>Total square footage - land:</t>
  </si>
  <si>
    <t>Total square footage - buildings:</t>
  </si>
  <si>
    <t>Are developer and owner the same?</t>
  </si>
  <si>
    <t>September</t>
  </si>
  <si>
    <t>Yes</t>
  </si>
  <si>
    <t>Is Property a Vacant Site (no buildings)?</t>
  </si>
  <si>
    <t>Are Existing Buildings on State or Federal Historic Registry?</t>
  </si>
  <si>
    <t>Total Base Year Market Value for All Parcels</t>
  </si>
  <si>
    <t>Total Base Year Assessed Value for All Parcels</t>
  </si>
  <si>
    <t>Total Base Year Property Tax for All Parcels</t>
  </si>
  <si>
    <t>Site Parcel Number(s):</t>
  </si>
  <si>
    <t>Site Address:</t>
  </si>
  <si>
    <t>Site Neighborhood:</t>
  </si>
  <si>
    <t>Site ZIP Code:</t>
  </si>
  <si>
    <t>Site Strategic Land Use Plan Category:</t>
  </si>
  <si>
    <t>Site MVA Category:</t>
  </si>
  <si>
    <t>Land</t>
  </si>
  <si>
    <t>Improvements</t>
  </si>
  <si>
    <t>Land + Improvements</t>
  </si>
  <si>
    <t>Project Valuation</t>
  </si>
  <si>
    <t>Project Components</t>
  </si>
  <si>
    <t>Please indicate whether the project includes the components below:</t>
  </si>
  <si>
    <t>Residential (rental):</t>
  </si>
  <si>
    <t>Residential (for sale):</t>
  </si>
  <si>
    <t>Retail:</t>
  </si>
  <si>
    <t>Hotel:</t>
  </si>
  <si>
    <t>Office:</t>
  </si>
  <si>
    <t>Industrial:</t>
  </si>
  <si>
    <t>Parking:</t>
  </si>
  <si>
    <t>Other:</t>
  </si>
  <si>
    <t>Please specify:</t>
  </si>
  <si>
    <t>Residential Components</t>
  </si>
  <si>
    <t>Residential - rental</t>
  </si>
  <si>
    <t>Rental revenues</t>
  </si>
  <si>
    <t># of units:</t>
  </si>
  <si>
    <t>Average size of units (sq ft):</t>
  </si>
  <si>
    <t>Avg monthly rent per sq ft:</t>
  </si>
  <si>
    <t>Annual gross rent potential:</t>
  </si>
  <si>
    <t>Stabilized vacancy rate (%):</t>
  </si>
  <si>
    <t>Stabilized net rental income:</t>
  </si>
  <si>
    <t>Other non-rental income (gross potential):</t>
  </si>
  <si>
    <t>Net revenue:</t>
  </si>
  <si>
    <t>Residential #1</t>
  </si>
  <si>
    <t>Residential #2</t>
  </si>
  <si>
    <t>Residential #3</t>
  </si>
  <si>
    <t>Residential #4</t>
  </si>
  <si>
    <t>Total</t>
  </si>
  <si>
    <t>Is the property currently vacant (no residents prior to development)?</t>
  </si>
  <si>
    <t>If property is not currently vacant,</t>
  </si>
  <si>
    <t>How many units are rented?</t>
  </si>
  <si>
    <t>What was the total rent collected last year?</t>
  </si>
  <si>
    <t>Do any special tax assessments apply to this area?</t>
  </si>
  <si>
    <t>Rent growth assumptions</t>
  </si>
  <si>
    <t>Vacancy assumptions</t>
  </si>
  <si>
    <t>% of stabilized occupancy:</t>
  </si>
  <si>
    <t>Effective vacancy rate (all units):</t>
  </si>
  <si>
    <t>Operating Expenses excl. Real Estate taxes</t>
  </si>
  <si>
    <t>Residential #1:</t>
  </si>
  <si>
    <t>Residential #2:</t>
  </si>
  <si>
    <t>Residential #3:</t>
  </si>
  <si>
    <t>Residential #4:</t>
  </si>
  <si>
    <t>Total operating expense:</t>
  </si>
  <si>
    <t>Operating expense as % of effective gross rent:</t>
  </si>
  <si>
    <t>Average monthly rent (first year):</t>
  </si>
  <si>
    <t>Effective gross rent:</t>
  </si>
  <si>
    <t>Estimated Values at Stabilization</t>
  </si>
  <si>
    <t>Total Expenses:</t>
  </si>
  <si>
    <t>Total Expense per SF (Annual):</t>
  </si>
  <si>
    <t>from CF Proj-No Incent</t>
  </si>
  <si>
    <t>Residential - For Sale</t>
  </si>
  <si>
    <t>Is property currently vacant (no residents)?</t>
  </si>
  <si>
    <t>If No, How many units are occupied?</t>
  </si>
  <si>
    <t>Special Tax Assessment Applies to This Area?</t>
  </si>
  <si>
    <t>Number of units:</t>
  </si>
  <si>
    <t>Construction Start Year:</t>
  </si>
  <si>
    <t>Average Unit Size (Sq. Ft.):</t>
  </si>
  <si>
    <t>Total Built Area:</t>
  </si>
  <si>
    <t>Anticipated Sales Price per Unit (without abatement or TIF):</t>
  </si>
  <si>
    <t>Development Cost per Unit:</t>
  </si>
  <si>
    <t>Total For-Sale Development Cost:</t>
  </si>
  <si>
    <t>Cost of Sale as % of Sale Price (e.g. broker's fees, etc.):</t>
  </si>
  <si>
    <t>Net Sales Price per Unit:</t>
  </si>
  <si>
    <t>Phase I</t>
  </si>
  <si>
    <t>Phase II</t>
  </si>
  <si>
    <t>Phase III</t>
  </si>
  <si>
    <t>Projected # of Units Sold (Phase I):</t>
  </si>
  <si>
    <t>Projected # of Units Sold (Phase II):</t>
  </si>
  <si>
    <t>Projected # of Units Sold (Phase III):</t>
  </si>
  <si>
    <t>Retail &amp; Hotel Components</t>
  </si>
  <si>
    <t>Retail</t>
  </si>
  <si>
    <t>NNN lease?</t>
  </si>
  <si>
    <t>Rental income</t>
  </si>
  <si>
    <t>Retail #1</t>
  </si>
  <si>
    <t>Retail #2</t>
  </si>
  <si>
    <t>Retail #3</t>
  </si>
  <si>
    <t>Retail #4</t>
  </si>
  <si>
    <t>Total retail square footage:</t>
  </si>
  <si>
    <t>Avg annual base rent per square foot:</t>
  </si>
  <si>
    <t>Avg annual NNN fees per sq ft (tax, ins, CAM, etc.)</t>
  </si>
  <si>
    <t>Avg gross rent per square foot:</t>
  </si>
  <si>
    <t>Combined</t>
  </si>
  <si>
    <t>Retail #1:</t>
  </si>
  <si>
    <t>Retail #2:</t>
  </si>
  <si>
    <t>Retail #3:</t>
  </si>
  <si>
    <t>Retail #4:</t>
  </si>
  <si>
    <t>CAM growth assumptions</t>
  </si>
  <si>
    <t>Operating expenses (annual)</t>
  </si>
  <si>
    <t>Payroll</t>
  </si>
  <si>
    <t>Average annual wage:</t>
  </si>
  <si>
    <t>Number of retail jobs:</t>
  </si>
  <si>
    <t>Total retail payroll:</t>
  </si>
  <si>
    <t>Does special tax assessment apply to this area?</t>
  </si>
  <si>
    <t>Non-Abated Real Estate Taxes:</t>
  </si>
  <si>
    <t>Hotel</t>
  </si>
  <si>
    <t># Hotel Rooms</t>
  </si>
  <si>
    <t>Hotel Area (Sq. Ft.)</t>
  </si>
  <si>
    <t>Average Room Rate</t>
  </si>
  <si>
    <t>Annual Gross Income Potential</t>
  </si>
  <si>
    <t>Stabilized Occupancy Rate (%)</t>
  </si>
  <si>
    <t>Stabilized Net Room Income</t>
  </si>
  <si>
    <t>Net Revenue</t>
  </si>
  <si>
    <t>Other Non-Room Income (Net-after vacancy)</t>
  </si>
  <si>
    <t>Room rates:</t>
  </si>
  <si>
    <t>Income growth assumptions</t>
  </si>
  <si>
    <t>Non-room income:</t>
  </si>
  <si>
    <t>Occupancy assumptions</t>
  </si>
  <si>
    <t>Per-room expenses (not incl. RE taxes or items below):</t>
  </si>
  <si>
    <t>Operating Expenses (annual)</t>
  </si>
  <si>
    <t>Management Fee (total - not per room)</t>
  </si>
  <si>
    <t>Franchise Royalty Fee (total - not per room)</t>
  </si>
  <si>
    <t>FF&amp;E Reserve (total - not per room)</t>
  </si>
  <si>
    <t>Effective occupancy rate:</t>
  </si>
  <si>
    <t>% of Operating Income</t>
  </si>
  <si>
    <t>Total expenses as % of operating income:</t>
  </si>
  <si>
    <t>Office &amp; Industrial Components</t>
  </si>
  <si>
    <t>Office Space</t>
  </si>
  <si>
    <t>Total office square footage:</t>
  </si>
  <si>
    <t>Office #1</t>
  </si>
  <si>
    <t>Office #2</t>
  </si>
  <si>
    <t>Office #3</t>
  </si>
  <si>
    <t>Office #4</t>
  </si>
  <si>
    <t>Office #1:</t>
  </si>
  <si>
    <t>Office #2:</t>
  </si>
  <si>
    <t>Office #3:</t>
  </si>
  <si>
    <t>Office #4:</t>
  </si>
  <si>
    <t>Number of office jobs:</t>
  </si>
  <si>
    <t>Total office payroll:</t>
  </si>
  <si>
    <t>Industrial Space</t>
  </si>
  <si>
    <t>Industrial #1</t>
  </si>
  <si>
    <t>Industrial #2</t>
  </si>
  <si>
    <t>Industrial #3</t>
  </si>
  <si>
    <t>Industrial #4</t>
  </si>
  <si>
    <t>Total Industrial square footage:</t>
  </si>
  <si>
    <t>Industrial #1:</t>
  </si>
  <si>
    <t>Industrial #2:</t>
  </si>
  <si>
    <t>Industrial #3:</t>
  </si>
  <si>
    <t>Industrial #4:</t>
  </si>
  <si>
    <t>Number of Industrial jobs:</t>
  </si>
  <si>
    <t>Total Industrial payroll:</t>
  </si>
  <si>
    <t>Parking and Miscellaneous Operations</t>
  </si>
  <si>
    <t>Parking Operations</t>
  </si>
  <si>
    <t>Number of parking stalls:</t>
  </si>
  <si>
    <t>Average monthly revenue per stall:</t>
  </si>
  <si>
    <t>Stabilized Vacancy Rate (%)</t>
  </si>
  <si>
    <t>Stabilized Net Income</t>
  </si>
  <si>
    <t>Operating expense total:</t>
  </si>
  <si>
    <t>Number of parking jobs:</t>
  </si>
  <si>
    <t>Total parking payroll:</t>
  </si>
  <si>
    <t>Miscellaneous Operations</t>
  </si>
  <si>
    <t>Number of Misc jobs:</t>
  </si>
  <si>
    <t>Total Misc payroll:</t>
  </si>
  <si>
    <t>Miscellaneous income:</t>
  </si>
  <si>
    <t>Effective vacancy rate:</t>
  </si>
  <si>
    <t>Economic Activity</t>
  </si>
  <si>
    <t>Taxable Sales</t>
  </si>
  <si>
    <t>Retail and Restaurant:</t>
  </si>
  <si>
    <t>% of sales from restaurants:</t>
  </si>
  <si>
    <t>% of sales from grocery (food):</t>
  </si>
  <si>
    <t>% of sales from general retail:</t>
  </si>
  <si>
    <t>Other Economic Activity</t>
  </si>
  <si>
    <t>Employment Activity</t>
  </si>
  <si>
    <t>Estimated new full-time jobs:</t>
  </si>
  <si>
    <t>Estimated new part-time jobs:</t>
  </si>
  <si>
    <t>Estimated new entry-level jobs:</t>
  </si>
  <si>
    <t>Estimated employee payroll:</t>
  </si>
  <si>
    <t>Existing payroll at project site:</t>
  </si>
  <si>
    <t>Personal Property Investments</t>
  </si>
  <si>
    <t>Cost</t>
  </si>
  <si>
    <t>Year Purchased</t>
  </si>
  <si>
    <t>Abate. Year Start</t>
  </si>
  <si>
    <t>Investment #1</t>
  </si>
  <si>
    <t>Investment #2</t>
  </si>
  <si>
    <t>Investment #3</t>
  </si>
  <si>
    <t>Investment #4</t>
  </si>
  <si>
    <t>Investment #5</t>
  </si>
  <si>
    <t>Description</t>
  </si>
  <si>
    <t>Sources and Uses of Funds</t>
  </si>
  <si>
    <t>Sources of Funds</t>
  </si>
  <si>
    <t>Hotel Sales Tax Rebate</t>
  </si>
  <si>
    <t>Federal Historic Tax Credits:</t>
  </si>
  <si>
    <t>State Historic Tax Credits:</t>
  </si>
  <si>
    <t>State Brownfields Tax Credits:</t>
  </si>
  <si>
    <t>Local Incentive Amount (TIF, etc.):</t>
  </si>
  <si>
    <t>Monetized CID/TDD Values:</t>
  </si>
  <si>
    <t>Private Debt:</t>
  </si>
  <si>
    <t>Developer/Investor Equity:</t>
  </si>
  <si>
    <t>Hotel Sales Tax Rebate:</t>
  </si>
  <si>
    <t>Deferred Developer Fee:</t>
  </si>
  <si>
    <t>Total Project Sources (Permanent):</t>
  </si>
  <si>
    <t>Uses of Funds - Summary</t>
  </si>
  <si>
    <t>Acquisition</t>
  </si>
  <si>
    <t>Financing Costs</t>
  </si>
  <si>
    <t>Reserves</t>
  </si>
  <si>
    <t>Acquisition:</t>
  </si>
  <si>
    <t>Hard Costs (Construction):</t>
  </si>
  <si>
    <t>Soft Costs:</t>
  </si>
  <si>
    <t>Financing Costs:</t>
  </si>
  <si>
    <t>Reserves:</t>
  </si>
  <si>
    <t>Developer Fee:</t>
  </si>
  <si>
    <t>Permanent Financing Information</t>
  </si>
  <si>
    <t>Interest Rate on Debt</t>
  </si>
  <si>
    <t>Loan Amortization (Years)</t>
  </si>
  <si>
    <t>Cost of Equity</t>
  </si>
  <si>
    <t>Developer Tax Rate</t>
  </si>
  <si>
    <t>Chapter 100 Sales Tax Exemption on Construction Materials</t>
  </si>
  <si>
    <t>Hard Construction Costs</t>
  </si>
  <si>
    <t>Material % of Core, Shell &amp; Rehabilitation</t>
  </si>
  <si>
    <t>Assumed Sales Tax Rate</t>
  </si>
  <si>
    <t>Estimated Gross Developer Benefit (not incl. fees &amp; expenses)</t>
  </si>
  <si>
    <t>Uses of Funds - Detail</t>
  </si>
  <si>
    <t>Land/Building Acquisition</t>
  </si>
  <si>
    <t>Total Acquisition</t>
  </si>
  <si>
    <t>Construction Hard Costs</t>
  </si>
  <si>
    <t>Office Tenant Finish (if applicable)</t>
  </si>
  <si>
    <t>Retail/Restaurant Tenant Finish (if applicable)</t>
  </si>
  <si>
    <t>Environmental Remediation</t>
  </si>
  <si>
    <t>Site Work</t>
  </si>
  <si>
    <t>FF&amp;E (Hotels)</t>
  </si>
  <si>
    <t>FF&amp;E (Non-Hotels)</t>
  </si>
  <si>
    <t>Hard Cost Contingency</t>
  </si>
  <si>
    <t>Total Hard Cost of Construction</t>
  </si>
  <si>
    <t>Development Soft Costs</t>
  </si>
  <si>
    <t>Pre-Development Expenses</t>
  </si>
  <si>
    <t>Architect/Engineer/Design Costs</t>
  </si>
  <si>
    <t>Environmental Survey</t>
  </si>
  <si>
    <t>Inspection Fees</t>
  </si>
  <si>
    <t>Historic Tax Credit Fees (if applicable)</t>
  </si>
  <si>
    <t>Historic Part 3 Preparation Fees (if applicable)</t>
  </si>
  <si>
    <t>Survey</t>
  </si>
  <si>
    <t>Appraisal/Market Study</t>
  </si>
  <si>
    <t>Legal Fees</t>
  </si>
  <si>
    <t>Accounting Fees</t>
  </si>
  <si>
    <t>Cost Certification Fees</t>
  </si>
  <si>
    <t>Title/Recording/Disbursing</t>
  </si>
  <si>
    <t>Property Taxes</t>
  </si>
  <si>
    <t>Insurance Builders Risk</t>
  </si>
  <si>
    <t>Leasing Commissions</t>
  </si>
  <si>
    <t xml:space="preserve">Advertising/Marketing </t>
  </si>
  <si>
    <t>Soft Cost Contingency</t>
  </si>
  <si>
    <t>Total Development Soft Costs</t>
  </si>
  <si>
    <t>Mortgage Loan Commitment Fees</t>
  </si>
  <si>
    <t xml:space="preserve">Construction Period Interest </t>
  </si>
  <si>
    <t>Total Financing Costs</t>
  </si>
  <si>
    <t>Operating Reserve</t>
  </si>
  <si>
    <t>Working Capital Reserve</t>
  </si>
  <si>
    <t>Total Reserves</t>
  </si>
  <si>
    <t>Developer's Fee</t>
  </si>
  <si>
    <t>Total Project Costs</t>
  </si>
  <si>
    <t>All Development Soft Costs</t>
  </si>
  <si>
    <t>Cost per sq ft</t>
  </si>
  <si>
    <t>% of total</t>
  </si>
  <si>
    <t>Estimated Gross Savings:</t>
  </si>
  <si>
    <t>Fees and Transaction Expenses</t>
  </si>
  <si>
    <t>Total Project Costs:</t>
  </si>
  <si>
    <t>LCRA Fee %:</t>
  </si>
  <si>
    <t>Total LCRA Fee:</t>
  </si>
  <si>
    <t>Base LCRA Issuance Fee:</t>
  </si>
  <si>
    <t>Special Allocation to LCRA*</t>
  </si>
  <si>
    <t>Other Developer Costs</t>
  </si>
  <si>
    <t>Bond Counsel</t>
  </si>
  <si>
    <t>Trustee</t>
  </si>
  <si>
    <t>Developer Counsel</t>
  </si>
  <si>
    <t>Total LCRA Issuance Fee</t>
  </si>
  <si>
    <t>Estimated Developer Costs</t>
  </si>
  <si>
    <t>Benefit as % of total project costs:</t>
  </si>
  <si>
    <t>Net Chapter 100 Benefit to Developer:</t>
  </si>
  <si>
    <t>Incentives Requested</t>
  </si>
  <si>
    <t>Tax Increment Financing</t>
  </si>
  <si>
    <t>TIF Year Start</t>
  </si>
  <si>
    <t>TIF Month Start</t>
  </si>
  <si>
    <t>Value of TIF Request</t>
  </si>
  <si>
    <t>TIF Funding Method</t>
  </si>
  <si>
    <t>TIF Note Issuance Date Month (If Capitalized)</t>
  </si>
  <si>
    <t>TIF Note Issuance Date Year (If Capitalized)</t>
  </si>
  <si>
    <t>TIF requested?</t>
  </si>
  <si>
    <t>Tax Abatement</t>
  </si>
  <si>
    <t>Abatement requested?</t>
  </si>
  <si>
    <t>Tax Abatement Type</t>
  </si>
  <si>
    <t>How many Years of Tax Abatement?</t>
  </si>
  <si>
    <t>Percentage of Abatement Years 1-5</t>
  </si>
  <si>
    <t>Percentage of Abatement Years 6-10</t>
  </si>
  <si>
    <t>Percentage of Abatement Years 11-15</t>
  </si>
  <si>
    <t>Percentage of Abatement Years 16-20</t>
  </si>
  <si>
    <t>Percentage of Abatement Years 21-25</t>
  </si>
  <si>
    <t>Personal Property</t>
  </si>
  <si>
    <t>Real Estate</t>
  </si>
  <si>
    <t>Ch. 99</t>
  </si>
  <si>
    <t>Tax Assurance</t>
  </si>
  <si>
    <t>Assurance requested?</t>
  </si>
  <si>
    <t>Start Year</t>
  </si>
  <si>
    <t>Length (years)</t>
  </si>
  <si>
    <t>Growth Rate:</t>
  </si>
  <si>
    <t>Existing CID/TDD</t>
  </si>
  <si>
    <t>Existing Sales Tax CID Captured by TIF?</t>
  </si>
  <si>
    <t>Existing TDD Captured by TIF?</t>
  </si>
  <si>
    <t>New CID/TDD</t>
  </si>
  <si>
    <t>New Sales Tax CID?</t>
  </si>
  <si>
    <t>New CID Percentage</t>
  </si>
  <si>
    <t>Length of CID in Years</t>
  </si>
  <si>
    <t>New Sales Tax TDD?</t>
  </si>
  <si>
    <t>New CID/TDD Funding Method</t>
  </si>
  <si>
    <t>New Property Tax CID/TDD Assessment</t>
  </si>
  <si>
    <t>Applies to</t>
  </si>
  <si>
    <t>What Percentage of the '' is subject to the special assessment?</t>
  </si>
  <si>
    <t>CID/TDD Funding Method</t>
  </si>
  <si>
    <t>Sales Tax Rebates (Hotels Only)</t>
  </si>
  <si>
    <t>Rebate Funding Method</t>
  </si>
  <si>
    <t>CID Percentage (full amount, not just TIF)</t>
  </si>
  <si>
    <t>TDD Percentage (full amount, not just TIF)</t>
  </si>
  <si>
    <t>Paygo</t>
  </si>
  <si>
    <t>Combined rent:</t>
  </si>
  <si>
    <t>Combined NNN fees:</t>
  </si>
  <si>
    <t>NNN growth assumptions</t>
  </si>
  <si>
    <t>Combined NNN:</t>
  </si>
  <si>
    <t>Other</t>
  </si>
  <si>
    <t>Total hotel payroll:</t>
  </si>
  <si>
    <t>Boolean</t>
  </si>
  <si>
    <t>1 to 25</t>
  </si>
  <si>
    <t>Quarter%</t>
  </si>
  <si>
    <t>ZIP</t>
  </si>
  <si>
    <t>NPA</t>
  </si>
  <si>
    <t>NDA</t>
  </si>
  <si>
    <t>NCA</t>
  </si>
  <si>
    <t>RCA</t>
  </si>
  <si>
    <t>BIPA</t>
  </si>
  <si>
    <t>BIDA</t>
  </si>
  <si>
    <t>IPDA</t>
  </si>
  <si>
    <t>SMUA</t>
  </si>
  <si>
    <t>OA</t>
  </si>
  <si>
    <t>Unknown</t>
  </si>
  <si>
    <t>SLUP</t>
  </si>
  <si>
    <t>Academy</t>
  </si>
  <si>
    <t>Baden</t>
  </si>
  <si>
    <t>Benton Park</t>
  </si>
  <si>
    <t>Benton Park West</t>
  </si>
  <si>
    <t>Bevo Mill</t>
  </si>
  <si>
    <t>Botanical Heights</t>
  </si>
  <si>
    <t>Boulevard Heights</t>
  </si>
  <si>
    <t>Calvary-Bellefontaine Cemetaries</t>
  </si>
  <si>
    <t>Carondelet</t>
  </si>
  <si>
    <t>Carr Square</t>
  </si>
  <si>
    <t>Central West End</t>
  </si>
  <si>
    <t>Cheltenham</t>
  </si>
  <si>
    <t>Clayton / Tamm</t>
  </si>
  <si>
    <t>Clifton Heights</t>
  </si>
  <si>
    <t>College Hill</t>
  </si>
  <si>
    <t>Columbus Square</t>
  </si>
  <si>
    <t>Compton Heights</t>
  </si>
  <si>
    <t>Covenant Blu / Grand Center</t>
  </si>
  <si>
    <t>DeBaliviere Place</t>
  </si>
  <si>
    <t>Downtown</t>
  </si>
  <si>
    <t>Downtown West</t>
  </si>
  <si>
    <t>Dutchtown</t>
  </si>
  <si>
    <t>Ellendale</t>
  </si>
  <si>
    <t>Fairground Neighborhood</t>
  </si>
  <si>
    <t>Forest Park Southeast</t>
  </si>
  <si>
    <t>Fountain Park</t>
  </si>
  <si>
    <t>Fox Park</t>
  </si>
  <si>
    <t>Franz Park</t>
  </si>
  <si>
    <t>Gravois Park</t>
  </si>
  <si>
    <t>Hamilton Heights</t>
  </si>
  <si>
    <t>Hi-Point</t>
  </si>
  <si>
    <t>Holly Hills</t>
  </si>
  <si>
    <t>Hyde Park</t>
  </si>
  <si>
    <t>JeffVanderLou</t>
  </si>
  <si>
    <t>Kings Oak</t>
  </si>
  <si>
    <t>Kingsway East</t>
  </si>
  <si>
    <t>Kingsway West</t>
  </si>
  <si>
    <t>Kosciusko</t>
  </si>
  <si>
    <t>Lafayette Square</t>
  </si>
  <si>
    <t>La Salle</t>
  </si>
  <si>
    <t>Lewis Place</t>
  </si>
  <si>
    <t>Lindenwood Park</t>
  </si>
  <si>
    <t>Marine Villa</t>
  </si>
  <si>
    <t>Mark Twain</t>
  </si>
  <si>
    <t>Mark Twain / I-70 Industrial</t>
  </si>
  <si>
    <t>McKinley Heights</t>
  </si>
  <si>
    <t>Midtown</t>
  </si>
  <si>
    <t>Mount Pleasant</t>
  </si>
  <si>
    <t>Near North Riverfront</t>
  </si>
  <si>
    <t>North Hampton</t>
  </si>
  <si>
    <t>North Point</t>
  </si>
  <si>
    <t>North Riverfront</t>
  </si>
  <si>
    <t>O'Fallon</t>
  </si>
  <si>
    <t>Old North St. Louis</t>
  </si>
  <si>
    <t>Patch</t>
  </si>
  <si>
    <t>Peabody, Darst, Webbe</t>
  </si>
  <si>
    <t>Penrose</t>
  </si>
  <si>
    <t>Princeton Heights</t>
  </si>
  <si>
    <t>Riverview</t>
  </si>
  <si>
    <t>Shaw</t>
  </si>
  <si>
    <t>Skinker / DeBaliviere</t>
  </si>
  <si>
    <t>Soulard</t>
  </si>
  <si>
    <t>South Hampton</t>
  </si>
  <si>
    <t>Southwest Garden</t>
  </si>
  <si>
    <t>St. Louis Hills</t>
  </si>
  <si>
    <t>St. Louis Place</t>
  </si>
  <si>
    <t>The Gate District</t>
  </si>
  <si>
    <t>The Greater Ville</t>
  </si>
  <si>
    <t>The Hill</t>
  </si>
  <si>
    <t>The Ville</t>
  </si>
  <si>
    <t>Tiffany</t>
  </si>
  <si>
    <t>Tower Grove East</t>
  </si>
  <si>
    <t>Tower Grove South</t>
  </si>
  <si>
    <t>Vandeventer</t>
  </si>
  <si>
    <t>Visitation Park</t>
  </si>
  <si>
    <t>Walnut Park East</t>
  </si>
  <si>
    <t>Walnut Park West</t>
  </si>
  <si>
    <t>Wells / Goodfellow</t>
  </si>
  <si>
    <t>West End</t>
  </si>
  <si>
    <t>Wydown / Skinker</t>
  </si>
  <si>
    <t>Neighborhoods</t>
  </si>
  <si>
    <t>B</t>
  </si>
  <si>
    <t>C</t>
  </si>
  <si>
    <t>D</t>
  </si>
  <si>
    <t>E</t>
  </si>
  <si>
    <t>F</t>
  </si>
  <si>
    <t>G</t>
  </si>
  <si>
    <t>H</t>
  </si>
  <si>
    <t>I</t>
  </si>
  <si>
    <t>A</t>
  </si>
  <si>
    <t>Months</t>
  </si>
  <si>
    <t>January</t>
  </si>
  <si>
    <t>February</t>
  </si>
  <si>
    <t>March</t>
  </si>
  <si>
    <t>April</t>
  </si>
  <si>
    <t>May</t>
  </si>
  <si>
    <t>June</t>
  </si>
  <si>
    <t>July</t>
  </si>
  <si>
    <t>August</t>
  </si>
  <si>
    <t>October</t>
  </si>
  <si>
    <t>November</t>
  </si>
  <si>
    <t>December</t>
  </si>
  <si>
    <t>Agriculture Equipment</t>
  </si>
  <si>
    <t>Airplanes</t>
  </si>
  <si>
    <t>Any Semiconductor Manufacturing Equipment</t>
  </si>
  <si>
    <t>Automobiles, Buses, Light or Heavy Trucks</t>
  </si>
  <si>
    <t>Computer &amp; Office Machines</t>
  </si>
  <si>
    <t>Construction Assets</t>
  </si>
  <si>
    <t>Cutting of Timber Tools</t>
  </si>
  <si>
    <t>Data Handling Equipment; except Computers</t>
  </si>
  <si>
    <t>Hotel Assets (e.g. Furniture)</t>
  </si>
  <si>
    <t>Industrial Steam and Electric Generation or Distribution</t>
  </si>
  <si>
    <t>Information Systems</t>
  </si>
  <si>
    <t>Land Improvements</t>
  </si>
  <si>
    <t>Manufacture of Aerospace Products</t>
  </si>
  <si>
    <t>Manufacture of Apparel and other Finished Products</t>
  </si>
  <si>
    <t>Manufacture of Athletic, Jewelry and Other Goods</t>
  </si>
  <si>
    <t>Manufacture of Carpets and Textile Products</t>
  </si>
  <si>
    <t>Manufacture of Cement</t>
  </si>
  <si>
    <t>Manufacture of Chemicals and Allied Products</t>
  </si>
  <si>
    <t>Manufacture of Electronic Components, Products and Systems</t>
  </si>
  <si>
    <t>Manufacture of Fabricated Metal Products</t>
  </si>
  <si>
    <t>Manufacture of Finished Plastic Products</t>
  </si>
  <si>
    <t>Manufacture of Food and Beverages</t>
  </si>
  <si>
    <t>Manufacture of Foundry Products</t>
  </si>
  <si>
    <t>Manufacture of Glass Products</t>
  </si>
  <si>
    <t>Manufacture of Grain and Grain Mill Products</t>
  </si>
  <si>
    <t>Manufacture of Knitted Goods</t>
  </si>
  <si>
    <t>Manufacture of Leather Products</t>
  </si>
  <si>
    <t>Manufacture of Locomotives or Railcars</t>
  </si>
  <si>
    <t>Manufacture of Machinery or Other Mechanical Products</t>
  </si>
  <si>
    <t>Manufacture of Medical and Dental Supplies</t>
  </si>
  <si>
    <t>Manufacture of Motor Vehicles</t>
  </si>
  <si>
    <t>Manufacture of Other Food and Kindred Products</t>
  </si>
  <si>
    <t>Manufacture of other Stone and Clay Products</t>
  </si>
  <si>
    <t>Manufacture of Primary Nonferrous Metals</t>
  </si>
  <si>
    <t>Manufacture of Primary Steel Mill Products</t>
  </si>
  <si>
    <t>Manufacture of Pulp, Paper or Paperboard Products</t>
  </si>
  <si>
    <t>Manufacture of Rubber Products</t>
  </si>
  <si>
    <t>Manufacture of Sugar and Sugar Products</t>
  </si>
  <si>
    <t>Manufacture of Tobacco and Tobacco Products</t>
  </si>
  <si>
    <t>Manufacture of Vegetable Oils and VO Products</t>
  </si>
  <si>
    <t>Manufacture of Wood Products and Furniture</t>
  </si>
  <si>
    <t>Manufacture of Yarn, Thread and Fabric</t>
  </si>
  <si>
    <t>Office Furniture, Fixtures and Equipment</t>
  </si>
  <si>
    <t>Pipeline Transportation</t>
  </si>
  <si>
    <t>Printing, Publishing and Allied Industries</t>
  </si>
  <si>
    <t>Railroad Cars</t>
  </si>
  <si>
    <t>Railroad Machinery and Equipment</t>
  </si>
  <si>
    <t>Railroad Structures</t>
  </si>
  <si>
    <t>Railroad Track</t>
  </si>
  <si>
    <t>Railroad Wharves and Docks</t>
  </si>
  <si>
    <t>Restaurant Assets (e.g. Kitchen Equipment, Tables)</t>
  </si>
  <si>
    <t>Retail Assets (e.g. Show cases, Garment Racks, Shopping Carts)</t>
  </si>
  <si>
    <t>Ship &amp; Boat Building Machinery and Equipment</t>
  </si>
  <si>
    <t>Ship and Boat Building - Special Tools</t>
  </si>
  <si>
    <t>Ship and Boat Building Dry Docks and Land Improvements</t>
  </si>
  <si>
    <t>Special Tools for Use in Manufacturing (molds, jigs, etc.)</t>
  </si>
  <si>
    <t>Tractor Units</t>
  </si>
  <si>
    <t>Trailers and Containers</t>
  </si>
  <si>
    <t>Vessels, Barges or Tugs</t>
  </si>
  <si>
    <t>Other 3-Year Asset</t>
  </si>
  <si>
    <t>Other 5-Year Asset</t>
  </si>
  <si>
    <t>Other 7-Year Asset</t>
  </si>
  <si>
    <t>Other 10-Year Asset</t>
  </si>
  <si>
    <t>Other 15-Year Asset</t>
  </si>
  <si>
    <t>EquipClass</t>
  </si>
  <si>
    <t>DeprCycle</t>
  </si>
  <si>
    <t>Loan Constant</t>
  </si>
  <si>
    <t>CBD</t>
  </si>
  <si>
    <t>Suburb</t>
  </si>
  <si>
    <t>MVA</t>
  </si>
  <si>
    <t>Projected Net Sales (after transaction costs):</t>
  </si>
  <si>
    <t>Year Units Sold</t>
  </si>
  <si>
    <t>Investment #6</t>
  </si>
  <si>
    <t>Investment #7</t>
  </si>
  <si>
    <t>Investment #8</t>
  </si>
  <si>
    <t>Proprietorship</t>
  </si>
  <si>
    <t>Partnership</t>
  </si>
  <si>
    <t>C Corporation</t>
  </si>
  <si>
    <t>S Corporation</t>
  </si>
  <si>
    <t>LLC</t>
  </si>
  <si>
    <t>BusType</t>
  </si>
  <si>
    <t>Total taxable sales:</t>
  </si>
  <si>
    <t>Existing Retail Sales at Project Site:</t>
  </si>
  <si>
    <t>Existing Restaurant Sales at Project Site:</t>
  </si>
  <si>
    <t>Existing Hotel Sales at Project Site:</t>
  </si>
  <si>
    <t>TIF Duration</t>
  </si>
  <si>
    <t>Existing utility taxes at project site:</t>
  </si>
  <si>
    <t>Existing parking taxes at project site:</t>
  </si>
  <si>
    <t>Parking taxes generated:</t>
  </si>
  <si>
    <t>Utility taxes generated:</t>
  </si>
  <si>
    <t>Parking stall rates (monthly):</t>
  </si>
  <si>
    <t>Depr. Life</t>
  </si>
  <si>
    <t>Equipment Type</t>
  </si>
  <si>
    <t>TaxCat</t>
  </si>
  <si>
    <t>Mfg</t>
  </si>
  <si>
    <t>FFE</t>
  </si>
  <si>
    <t>Tax Category</t>
  </si>
  <si>
    <t>Net Operating Income (excl. CAM):</t>
  </si>
  <si>
    <t>Core, Shell &amp; Rehabilitation (Materials)</t>
  </si>
  <si>
    <t>Core, Shell &amp; Rehabilitation (Labor)</t>
  </si>
  <si>
    <t>Other Private:</t>
  </si>
  <si>
    <t>Federal LIHTC:</t>
  </si>
  <si>
    <t>Other Public:</t>
  </si>
  <si>
    <t>Other: (Please Label)</t>
  </si>
  <si>
    <t>VII. Employment Impacts</t>
  </si>
  <si>
    <t>VIII. Applicant Signature</t>
  </si>
  <si>
    <t>IX. Attachments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</si>
</sst>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43" formatCode="_(* #,##0.00_);_(* \(#,##0.00\);_(* &quot;-&quot;??_);_(@_)"/>
    <numFmt numFmtId="164" formatCode="_(* #,##0_);_(* \(#,##0\);_(* &quot;-&quot;??_);_(@_)"/>
    <numFmt numFmtId="165" formatCode="mmmm\ yyyy"/>
    <numFmt numFmtId="166" formatCode="_(&quot;$&quot;* #,##0_);_(&quot;$&quot;* \(#,##0\);_(&quot;$&quot;* &quot;-&quot;??_);_(@_)"/>
    <numFmt numFmtId="167" formatCode="0.0%"/>
    <numFmt numFmtId="168" formatCode="_(* #,##0.0_);_(* \(#,##0.0\);_(* &quot;-&quot;??_);_(@_)"/>
    <numFmt numFmtId="169" formatCode="0.000%"/>
    <numFmt numFmtId="175" formatCode="_(&quot;$&quot;* #,##0_);_(&quot;$&quot;* \(#,##0\);_(&quot;$&quot;* &quot;-&quot;?_);_(@_)"/>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i/>
      <sz val="10"/>
      <color theme="1"/>
      <name val="Calibri"/>
      <family val="2"/>
      <scheme val="minor"/>
    </font>
    <font>
      <sz val="9"/>
      <color indexed="81"/>
      <name val="Tahoma"/>
      <family val="2"/>
    </font>
    <font>
      <u/>
      <sz val="10"/>
      <color theme="10"/>
      <name val="Arial"/>
      <family val="2"/>
    </font>
    <font>
      <u/>
      <sz val="11"/>
      <color theme="1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9"/>
      <color indexed="81"/>
      <name val="Tahoma"/>
      <family val="2"/>
    </font>
    <font>
      <b/>
      <sz val="11"/>
      <color rgb="FFFF0000"/>
      <name val="Calibri"/>
      <family val="2"/>
      <scheme val="minor"/>
    </font>
    <font>
      <sz val="11"/>
      <color theme="2"/>
      <name val="Calibri"/>
      <family val="2"/>
      <scheme val="minor"/>
    </font>
    <font>
      <sz val="11"/>
      <color theme="6" tint="0.79998168889431442"/>
      <name val="Calibri"/>
      <family val="2"/>
      <scheme val="minor"/>
    </font>
    <font>
      <sz val="12"/>
      <color rgb="FFFF000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s>
  <borders count="2">
    <border>
      <left/>
      <right/>
      <top/>
      <bottom/>
      <diagonal/>
    </border>
    <border>
      <left/>
      <right/>
      <top style="thin">
        <color indexed="64"/>
      </top>
      <bottom/>
      <diagonal/>
    </border>
  </borders>
  <cellStyleXfs count="9">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30">
    <xf numFmtId="0" fontId="0" fillId="0" borderId="0" xfId="0"/>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2" borderId="0" xfId="0" applyFont="1" applyFill="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1" fillId="0" borderId="0" xfId="0" applyFont="1" applyAlignment="1">
      <alignment vertical="center"/>
    </xf>
    <xf numFmtId="9" fontId="8" fillId="2" borderId="0" xfId="3" applyFont="1" applyFill="1" applyAlignment="1">
      <alignment horizontal="center" vertical="center"/>
    </xf>
    <xf numFmtId="164" fontId="8" fillId="3" borderId="0" xfId="1" applyNumberFormat="1" applyFont="1" applyFill="1" applyAlignment="1">
      <alignment vertical="center"/>
    </xf>
    <xf numFmtId="0" fontId="8" fillId="4" borderId="0" xfId="0" applyFont="1" applyFill="1" applyAlignment="1">
      <alignment vertical="center"/>
    </xf>
    <xf numFmtId="165" fontId="8" fillId="2" borderId="0" xfId="0" applyNumberFormat="1" applyFont="1" applyFill="1" applyAlignment="1">
      <alignment horizontal="center" vertical="center"/>
    </xf>
    <xf numFmtId="166" fontId="8" fillId="2" borderId="0" xfId="2" applyNumberFormat="1" applyFont="1" applyFill="1" applyAlignment="1">
      <alignment horizontal="center" vertical="center"/>
    </xf>
    <xf numFmtId="164" fontId="8" fillId="2" borderId="0" xfId="1" applyNumberFormat="1" applyFont="1" applyFill="1" applyAlignment="1">
      <alignment horizontal="center" vertical="center"/>
    </xf>
    <xf numFmtId="164" fontId="8" fillId="2" borderId="0" xfId="1" applyNumberFormat="1" applyFont="1" applyFill="1" applyAlignment="1">
      <alignment vertical="center"/>
    </xf>
    <xf numFmtId="14" fontId="8" fillId="2" borderId="0" xfId="0" applyNumberFormat="1" applyFont="1" applyFill="1" applyAlignment="1">
      <alignment horizontal="center" vertical="center"/>
    </xf>
    <xf numFmtId="0" fontId="15" fillId="0" borderId="0" xfId="4" applyFont="1" applyAlignment="1">
      <alignment vertical="center"/>
    </xf>
    <xf numFmtId="0" fontId="8" fillId="0" borderId="0" xfId="0" applyFont="1" applyAlignment="1">
      <alignment horizontal="left" vertical="center" indent="1"/>
    </xf>
    <xf numFmtId="0" fontId="15" fillId="0" borderId="0" xfId="4" applyFont="1" applyAlignment="1">
      <alignment horizontal="left" vertical="center" indent="2"/>
    </xf>
    <xf numFmtId="0" fontId="8" fillId="0" borderId="0" xfId="0" applyFont="1" applyAlignment="1">
      <alignment horizontal="left" vertical="center" indent="2"/>
    </xf>
    <xf numFmtId="0" fontId="12" fillId="0" borderId="0" xfId="0" applyFont="1" applyAlignment="1">
      <alignment horizontal="right" vertical="center"/>
    </xf>
    <xf numFmtId="0" fontId="8" fillId="0" borderId="0" xfId="0" applyFont="1" applyAlignment="1">
      <alignment horizontal="right" vertical="center"/>
    </xf>
    <xf numFmtId="0" fontId="8" fillId="0" borderId="0" xfId="0" applyFont="1"/>
    <xf numFmtId="0" fontId="9" fillId="0" borderId="0" xfId="0" applyFont="1"/>
    <xf numFmtId="0" fontId="10" fillId="0" borderId="0" xfId="0" applyFont="1"/>
    <xf numFmtId="0" fontId="8" fillId="0" borderId="0" xfId="0" applyFont="1" applyAlignment="1">
      <alignment horizontal="center"/>
    </xf>
    <xf numFmtId="44" fontId="8" fillId="0" borderId="0" xfId="2" applyFont="1"/>
    <xf numFmtId="166" fontId="8" fillId="2" borderId="0" xfId="2" applyNumberFormat="1" applyFont="1" applyFill="1"/>
    <xf numFmtId="0" fontId="16" fillId="0" borderId="0" xfId="0" applyFont="1" applyAlignment="1">
      <alignment vertical="center"/>
    </xf>
    <xf numFmtId="0" fontId="8" fillId="3" borderId="0" xfId="0" applyFont="1" applyFill="1" applyAlignment="1">
      <alignment horizontal="center" vertical="center"/>
    </xf>
    <xf numFmtId="0" fontId="16" fillId="0" borderId="0" xfId="0" applyFont="1" applyAlignment="1">
      <alignment horizontal="center" vertical="center"/>
    </xf>
    <xf numFmtId="166" fontId="8" fillId="2" borderId="0" xfId="2" applyNumberFormat="1" applyFont="1" applyFill="1" applyAlignment="1">
      <alignment vertical="center"/>
    </xf>
    <xf numFmtId="166" fontId="8" fillId="0" borderId="0" xfId="2" applyNumberFormat="1" applyFont="1" applyAlignment="1">
      <alignment vertical="center"/>
    </xf>
    <xf numFmtId="0" fontId="17" fillId="0" borderId="0" xfId="0" applyFont="1"/>
    <xf numFmtId="0" fontId="18" fillId="0" borderId="0" xfId="0" applyFont="1"/>
    <xf numFmtId="0" fontId="8" fillId="0" borderId="0" xfId="0" applyFont="1" applyAlignment="1">
      <alignment horizontal="left" indent="1"/>
    </xf>
    <xf numFmtId="164" fontId="8" fillId="2" borderId="0" xfId="1" applyNumberFormat="1" applyFont="1" applyFill="1"/>
    <xf numFmtId="166" fontId="8" fillId="0" borderId="0" xfId="2" applyNumberFormat="1" applyFont="1" applyFill="1"/>
    <xf numFmtId="166" fontId="8" fillId="2" borderId="0" xfId="0" applyNumberFormat="1" applyFont="1" applyFill="1"/>
    <xf numFmtId="164" fontId="8" fillId="0" borderId="0" xfId="1" applyNumberFormat="1" applyFont="1" applyFill="1"/>
    <xf numFmtId="167" fontId="8" fillId="2" borderId="0" xfId="3" applyNumberFormat="1" applyFont="1" applyFill="1" applyAlignment="1">
      <alignment horizontal="center"/>
    </xf>
    <xf numFmtId="166" fontId="17" fillId="0" borderId="0" xfId="2" applyNumberFormat="1" applyFont="1" applyBorder="1"/>
    <xf numFmtId="166" fontId="9" fillId="0" borderId="1" xfId="2" applyNumberFormat="1" applyFont="1" applyFill="1" applyBorder="1"/>
    <xf numFmtId="0" fontId="8" fillId="0" borderId="0" xfId="0" applyFont="1" applyAlignment="1">
      <alignment horizontal="left" indent="2"/>
    </xf>
    <xf numFmtId="0" fontId="9" fillId="5" borderId="0" xfId="0" applyFont="1" applyFill="1"/>
    <xf numFmtId="0" fontId="8" fillId="5" borderId="0" xfId="0" applyFont="1" applyFill="1"/>
    <xf numFmtId="0" fontId="17" fillId="0" borderId="0" xfId="0" applyFont="1" applyAlignment="1">
      <alignment horizontal="center"/>
    </xf>
    <xf numFmtId="167" fontId="8" fillId="0" borderId="0" xfId="3" applyNumberFormat="1" applyFont="1" applyAlignment="1">
      <alignment horizontal="center"/>
    </xf>
    <xf numFmtId="167" fontId="8" fillId="0" borderId="0" xfId="3" applyNumberFormat="1" applyFont="1" applyFill="1" applyAlignment="1">
      <alignment horizontal="center"/>
    </xf>
    <xf numFmtId="166" fontId="8" fillId="0" borderId="0" xfId="0" applyNumberFormat="1" applyFont="1"/>
    <xf numFmtId="166" fontId="8" fillId="0" borderId="0" xfId="2" applyNumberFormat="1" applyFont="1" applyAlignment="1">
      <alignment horizontal="center"/>
    </xf>
    <xf numFmtId="166" fontId="8" fillId="3" borderId="0" xfId="2" applyNumberFormat="1" applyFont="1" applyFill="1" applyAlignment="1">
      <alignment horizontal="center"/>
    </xf>
    <xf numFmtId="166" fontId="8" fillId="2" borderId="0" xfId="2" applyNumberFormat="1" applyFont="1" applyFill="1" applyAlignment="1">
      <alignment horizontal="center"/>
    </xf>
    <xf numFmtId="44" fontId="8" fillId="0" borderId="0" xfId="0" applyNumberFormat="1" applyFont="1"/>
    <xf numFmtId="166" fontId="8" fillId="0" borderId="0" xfId="2" applyNumberFormat="1" applyFont="1"/>
    <xf numFmtId="164" fontId="8" fillId="0" borderId="0" xfId="1" applyNumberFormat="1" applyFont="1"/>
    <xf numFmtId="164" fontId="8" fillId="2" borderId="0" xfId="1" applyNumberFormat="1" applyFont="1" applyFill="1" applyAlignment="1">
      <alignment horizontal="center"/>
    </xf>
    <xf numFmtId="0" fontId="8" fillId="2" borderId="0" xfId="0" applyFont="1" applyFill="1" applyAlignment="1">
      <alignment horizontal="center"/>
    </xf>
    <xf numFmtId="166" fontId="8" fillId="0" borderId="1" xfId="2" applyNumberFormat="1" applyFont="1" applyBorder="1"/>
    <xf numFmtId="164" fontId="8" fillId="0" borderId="1" xfId="1" applyNumberFormat="1" applyFont="1" applyBorder="1"/>
    <xf numFmtId="164" fontId="8" fillId="0" borderId="0" xfId="1" applyNumberFormat="1" applyFont="1" applyBorder="1"/>
    <xf numFmtId="44" fontId="8" fillId="2" borderId="0" xfId="2" applyFont="1" applyFill="1"/>
    <xf numFmtId="44" fontId="8" fillId="3" borderId="0" xfId="2" applyFont="1" applyFill="1" applyAlignment="1">
      <alignment horizontal="center"/>
    </xf>
    <xf numFmtId="44" fontId="8" fillId="2" borderId="0" xfId="2" applyFont="1" applyFill="1" applyAlignment="1">
      <alignment horizontal="center"/>
    </xf>
    <xf numFmtId="166" fontId="8" fillId="0" borderId="1" xfId="0" applyNumberFormat="1" applyFont="1" applyBorder="1"/>
    <xf numFmtId="166" fontId="8" fillId="0" borderId="1" xfId="2" applyNumberFormat="1" applyFont="1" applyBorder="1" applyAlignment="1">
      <alignment horizontal="center"/>
    </xf>
    <xf numFmtId="166" fontId="8" fillId="0" borderId="1" xfId="2" applyNumberFormat="1" applyFont="1" applyFill="1" applyBorder="1"/>
    <xf numFmtId="166" fontId="16" fillId="0" borderId="1" xfId="2" applyNumberFormat="1" applyFont="1" applyFill="1" applyBorder="1"/>
    <xf numFmtId="9" fontId="8" fillId="2" borderId="0" xfId="3" applyFont="1" applyFill="1" applyAlignment="1">
      <alignment horizontal="center"/>
    </xf>
    <xf numFmtId="167" fontId="8" fillId="0" borderId="0" xfId="0" applyNumberFormat="1" applyFont="1" applyAlignment="1">
      <alignment horizontal="center"/>
    </xf>
    <xf numFmtId="0" fontId="16" fillId="5" borderId="0" xfId="0" applyFont="1" applyFill="1" applyAlignment="1">
      <alignment horizontal="center"/>
    </xf>
    <xf numFmtId="0" fontId="8" fillId="2" borderId="0" xfId="0" applyFont="1" applyFill="1"/>
    <xf numFmtId="168" fontId="8" fillId="2" borderId="0" xfId="1" applyNumberFormat="1" applyFont="1" applyFill="1"/>
    <xf numFmtId="0" fontId="16" fillId="0" borderId="0" xfId="0" applyFont="1"/>
    <xf numFmtId="0" fontId="16" fillId="0" borderId="0" xfId="0" applyFont="1" applyAlignment="1">
      <alignment horizontal="center"/>
    </xf>
    <xf numFmtId="166" fontId="9" fillId="0" borderId="1" xfId="0" applyNumberFormat="1" applyFont="1" applyBorder="1"/>
    <xf numFmtId="9" fontId="8" fillId="2" borderId="0" xfId="0" applyNumberFormat="1" applyFont="1" applyFill="1" applyAlignment="1">
      <alignment horizontal="center"/>
    </xf>
    <xf numFmtId="167" fontId="8" fillId="2" borderId="0" xfId="0" applyNumberFormat="1" applyFont="1" applyFill="1" applyAlignment="1">
      <alignment horizontal="center"/>
    </xf>
    <xf numFmtId="0" fontId="17" fillId="0" borderId="0" xfId="0" applyFont="1" applyAlignment="1">
      <alignment horizontal="left" indent="1"/>
    </xf>
    <xf numFmtId="0" fontId="8" fillId="2" borderId="0" xfId="0" applyFont="1" applyFill="1" applyAlignment="1">
      <alignment horizontal="left" indent="1"/>
    </xf>
    <xf numFmtId="10" fontId="8" fillId="2" borderId="0" xfId="0" applyNumberFormat="1" applyFont="1" applyFill="1" applyAlignment="1">
      <alignment horizontal="center"/>
    </xf>
    <xf numFmtId="166" fontId="8" fillId="3" borderId="0" xfId="2" applyNumberFormat="1" applyFont="1" applyFill="1"/>
    <xf numFmtId="166" fontId="16" fillId="0" borderId="0" xfId="0" applyNumberFormat="1" applyFont="1"/>
    <xf numFmtId="166" fontId="9" fillId="0" borderId="0" xfId="0" applyNumberFormat="1" applyFont="1"/>
    <xf numFmtId="44" fontId="9" fillId="0" borderId="0" xfId="0" applyNumberFormat="1" applyFont="1"/>
    <xf numFmtId="167" fontId="9" fillId="0" borderId="0" xfId="3" applyNumberFormat="1" applyFont="1" applyAlignment="1">
      <alignment horizontal="center"/>
    </xf>
    <xf numFmtId="0" fontId="8" fillId="2" borderId="0" xfId="2" applyNumberFormat="1" applyFont="1" applyFill="1" applyAlignment="1">
      <alignment horizontal="center"/>
    </xf>
    <xf numFmtId="44" fontId="8" fillId="0" borderId="0" xfId="2" applyFont="1" applyFill="1"/>
    <xf numFmtId="44" fontId="8" fillId="0" borderId="1" xfId="2" applyFont="1" applyBorder="1"/>
    <xf numFmtId="0" fontId="9" fillId="0" borderId="0" xfId="0" applyFont="1" applyAlignment="1">
      <alignment horizontal="center" vertical="center"/>
    </xf>
    <xf numFmtId="16" fontId="9" fillId="0" borderId="0" xfId="0" applyNumberFormat="1" applyFont="1" applyAlignment="1">
      <alignment horizontal="center" vertical="center"/>
    </xf>
    <xf numFmtId="10" fontId="8" fillId="0" borderId="0" xfId="0" applyNumberFormat="1" applyFont="1" applyAlignment="1">
      <alignment horizontal="center" vertical="center"/>
    </xf>
    <xf numFmtId="9" fontId="8" fillId="0" borderId="0" xfId="0" applyNumberFormat="1" applyFont="1" applyAlignment="1">
      <alignment horizontal="center" vertical="center"/>
    </xf>
    <xf numFmtId="0" fontId="20" fillId="0" borderId="0" xfId="0" applyFont="1"/>
    <xf numFmtId="169" fontId="8" fillId="0" borderId="0" xfId="3" applyNumberFormat="1" applyFont="1" applyAlignment="1">
      <alignment horizontal="center"/>
    </xf>
    <xf numFmtId="0" fontId="21" fillId="0" borderId="0" xfId="0" applyFont="1"/>
    <xf numFmtId="0" fontId="21" fillId="0" borderId="0" xfId="0" applyFont="1" applyAlignment="1">
      <alignment vertical="center"/>
    </xf>
    <xf numFmtId="167" fontId="16" fillId="5" borderId="0" xfId="3" applyNumberFormat="1" applyFont="1" applyFill="1" applyAlignment="1">
      <alignment horizontal="center"/>
    </xf>
    <xf numFmtId="167" fontId="18" fillId="0" borderId="0" xfId="3" applyNumberFormat="1" applyFont="1" applyAlignment="1">
      <alignment horizontal="center"/>
    </xf>
    <xf numFmtId="175" fontId="8" fillId="0" borderId="0" xfId="0" applyNumberFormat="1" applyFont="1"/>
    <xf numFmtId="0" fontId="11" fillId="0" borderId="0" xfId="0" applyFont="1"/>
    <xf numFmtId="0" fontId="22" fillId="0" borderId="0" xfId="0" applyFont="1" applyAlignment="1">
      <alignment horizontal="center"/>
    </xf>
    <xf numFmtId="0" fontId="16" fillId="0" borderId="0" xfId="0" applyFont="1" applyAlignment="1">
      <alignment horizontal="centerContinuous"/>
    </xf>
    <xf numFmtId="0" fontId="8" fillId="3" borderId="0" xfId="0" applyFont="1" applyFill="1" applyAlignment="1">
      <alignment horizontal="center"/>
    </xf>
    <xf numFmtId="0" fontId="23" fillId="0" borderId="0" xfId="0" applyFont="1"/>
    <xf numFmtId="0" fontId="8" fillId="2" borderId="0" xfId="2" applyNumberFormat="1" applyFont="1" applyFill="1" applyAlignment="1">
      <alignment vertical="center"/>
    </xf>
    <xf numFmtId="0" fontId="6" fillId="2" borderId="0" xfId="0" applyFont="1" applyFill="1" applyAlignment="1">
      <alignment horizontal="center" vertical="center"/>
    </xf>
    <xf numFmtId="7" fontId="9" fillId="0" borderId="1" xfId="0" applyNumberFormat="1" applyFont="1" applyBorder="1"/>
    <xf numFmtId="7" fontId="9" fillId="0" borderId="0" xfId="0" applyNumberFormat="1" applyFont="1"/>
    <xf numFmtId="0" fontId="8" fillId="6" borderId="0" xfId="0" applyFont="1" applyFill="1"/>
    <xf numFmtId="167" fontId="8" fillId="0" borderId="0" xfId="0" applyNumberFormat="1" applyFont="1"/>
    <xf numFmtId="0" fontId="5" fillId="0" borderId="0" xfId="0" applyFont="1"/>
    <xf numFmtId="0" fontId="4"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horizontal="left" indent="1"/>
    </xf>
    <xf numFmtId="0" fontId="8" fillId="2" borderId="0" xfId="0" applyFont="1" applyFill="1" applyAlignment="1">
      <alignment horizontal="left" vertical="center"/>
    </xf>
    <xf numFmtId="0" fontId="2" fillId="2" borderId="0" xfId="0" applyFont="1" applyFill="1" applyAlignment="1">
      <alignment horizontal="left" vertical="center"/>
    </xf>
    <xf numFmtId="0" fontId="8" fillId="0" borderId="0" xfId="0" applyFont="1" applyAlignment="1">
      <alignment horizontal="left" vertical="center" wrapText="1"/>
    </xf>
    <xf numFmtId="0" fontId="8" fillId="2" borderId="0" xfId="0" applyFont="1" applyFill="1" applyAlignment="1">
      <alignment horizontal="left"/>
    </xf>
    <xf numFmtId="0" fontId="1" fillId="3" borderId="0" xfId="0" applyFont="1" applyFill="1" applyAlignment="1">
      <alignment horizontal="center" vertical="center" wrapText="1"/>
    </xf>
    <xf numFmtId="166" fontId="1" fillId="2" borderId="0" xfId="2" applyNumberFormat="1" applyFont="1" applyFill="1" applyAlignment="1">
      <alignment horizontal="center"/>
    </xf>
    <xf numFmtId="0" fontId="1" fillId="2" borderId="0" xfId="0" applyFont="1" applyFill="1" applyAlignment="1">
      <alignment vertical="center"/>
    </xf>
    <xf numFmtId="0" fontId="1" fillId="0" borderId="0" xfId="0" applyFont="1"/>
    <xf numFmtId="0" fontId="1" fillId="0" borderId="0" xfId="0" applyFont="1" applyFill="1"/>
    <xf numFmtId="0" fontId="1" fillId="2" borderId="0" xfId="0" applyFont="1" applyFill="1" applyAlignment="1">
      <alignment horizontal="left" indent="1"/>
    </xf>
    <xf numFmtId="0" fontId="10" fillId="0" borderId="0" xfId="0" applyFont="1" applyFill="1" applyAlignment="1">
      <alignment horizontal="center" vertical="center"/>
    </xf>
    <xf numFmtId="0" fontId="10" fillId="2" borderId="0" xfId="0" applyFont="1" applyFill="1" applyAlignment="1">
      <alignment horizontal="center" vertical="center"/>
    </xf>
  </cellXfs>
  <cellStyles count="9">
    <cellStyle name="Comma" xfId="1" builtinId="3"/>
    <cellStyle name="Comma 2" xfId="7" xr:uid="{5E0D730E-8F8E-4703-B22F-FCB2DAB5DCDD}"/>
    <cellStyle name="Currency" xfId="2" builtinId="4"/>
    <cellStyle name="Currency 2" xfId="8" xr:uid="{5D8B3064-0093-4AC7-942E-6A76A1B2F044}"/>
    <cellStyle name="Hyperlink" xfId="4" builtinId="8"/>
    <cellStyle name="Normal" xfId="0" builtinId="0"/>
    <cellStyle name="Normal 2" xfId="5" xr:uid="{FAC104B3-1748-43C6-8F7C-9218829B915E}"/>
    <cellStyle name="Percent" xfId="3" builtinId="5"/>
    <cellStyle name="Percent 2" xfId="6" xr:uid="{F90106A8-7B10-4535-A154-745219C6BD4D}"/>
  </cellStyles>
  <dxfs count="39">
    <dxf>
      <font>
        <color theme="2" tint="-9.9948118533890809E-2"/>
      </font>
      <fill>
        <patternFill>
          <bgColor theme="2"/>
        </patternFill>
      </fill>
    </dxf>
    <dxf>
      <font>
        <color theme="2" tint="-9.9948118533890809E-2"/>
      </font>
      <fill>
        <patternFill>
          <bgColor theme="2"/>
        </patternFill>
      </fill>
    </dxf>
    <dxf>
      <font>
        <color theme="2" tint="-9.9948118533890809E-2"/>
      </font>
      <fill>
        <patternFill>
          <bgColor theme="2"/>
        </patternFill>
      </fill>
    </dxf>
    <dxf>
      <font>
        <color theme="2" tint="-9.9948118533890809E-2"/>
      </font>
      <fill>
        <patternFill>
          <bgColor theme="2"/>
        </patternFill>
      </fill>
    </dxf>
    <dxf>
      <font>
        <color theme="2" tint="-9.9948118533890809E-2"/>
      </font>
      <fill>
        <patternFill>
          <bgColor theme="2"/>
        </patternFill>
      </fill>
    </dxf>
    <dxf>
      <font>
        <color theme="2" tint="-9.9948118533890809E-2"/>
      </font>
      <fill>
        <patternFill>
          <bgColor theme="2"/>
        </patternFill>
      </fill>
    </dxf>
    <dxf>
      <font>
        <strike val="0"/>
        <color theme="2" tint="-9.9948118533890809E-2"/>
      </font>
      <fill>
        <patternFill>
          <bgColor theme="2"/>
        </patternFill>
      </fill>
    </dxf>
    <dxf>
      <font>
        <color theme="2" tint="-9.9948118533890809E-2"/>
      </font>
      <fill>
        <patternFill>
          <bgColor theme="2"/>
        </patternFill>
      </fill>
    </dxf>
    <dxf>
      <font>
        <strike val="0"/>
        <color theme="2" tint="-9.9948118533890809E-2"/>
      </font>
      <fill>
        <patternFill>
          <bgColor theme="2"/>
        </patternFill>
      </fill>
    </dxf>
    <dxf>
      <font>
        <strike val="0"/>
        <color theme="2" tint="-9.9948118533890809E-2"/>
      </font>
      <fill>
        <patternFill>
          <bgColor theme="2"/>
        </patternFill>
      </fill>
    </dxf>
    <dxf>
      <font>
        <strike val="0"/>
        <color theme="2" tint="-9.9948118533890809E-2"/>
      </font>
      <fill>
        <patternFill>
          <bgColor theme="2"/>
        </patternFill>
      </fill>
    </dxf>
    <dxf>
      <font>
        <strike val="0"/>
        <color theme="2" tint="-9.9948118533890809E-2"/>
      </font>
      <fill>
        <patternFill>
          <bgColor theme="2"/>
        </patternFill>
      </fill>
    </dxf>
    <dxf>
      <font>
        <strike val="0"/>
        <color theme="2" tint="-9.9948118533890809E-2"/>
      </font>
      <fill>
        <patternFill>
          <bgColor theme="2"/>
        </patternFill>
      </fill>
    </dxf>
    <dxf>
      <font>
        <color rgb="FF9C0006"/>
      </font>
      <fill>
        <patternFill>
          <bgColor rgb="FFFFC7CE"/>
        </patternFill>
      </fill>
    </dxf>
    <dxf>
      <font>
        <strike val="0"/>
        <color theme="2" tint="-9.9948118533890809E-2"/>
      </font>
      <fill>
        <patternFill>
          <bgColor theme="2"/>
        </patternFill>
      </fill>
    </dxf>
    <dxf>
      <font>
        <strike val="0"/>
        <color theme="2" tint="-9.9948118533890809E-2"/>
      </font>
      <fill>
        <patternFill>
          <bgColor theme="2"/>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strike val="0"/>
        <color theme="2" tint="-9.9948118533890809E-2"/>
      </font>
      <fill>
        <patternFill>
          <bgColor theme="2"/>
        </patternFill>
      </fill>
    </dxf>
    <dxf>
      <font>
        <strike val="0"/>
        <color theme="2" tint="-9.9948118533890809E-2"/>
      </font>
      <fill>
        <patternFill>
          <bgColor theme="2"/>
        </patternFill>
      </fill>
    </dxf>
    <dxf>
      <font>
        <strike val="0"/>
        <color theme="2" tint="-9.9948118533890809E-2"/>
      </font>
      <fill>
        <patternFill>
          <bgColor theme="2"/>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strike val="0"/>
        <color theme="2" tint="-9.9948118533890809E-2"/>
      </font>
      <fill>
        <patternFill>
          <bgColor theme="2"/>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strike val="0"/>
        <color theme="2" tint="-9.9948118533890809E-2"/>
      </font>
      <fill>
        <patternFill>
          <bgColor theme="2"/>
        </patternFill>
      </fill>
    </dxf>
    <dxf>
      <font>
        <color theme="2" tint="-0.499984740745262"/>
      </font>
      <fill>
        <patternFill>
          <bgColor theme="2" tint="-9.9948118533890809E-2"/>
        </patternFill>
      </fill>
    </dxf>
    <dxf>
      <font>
        <strike val="0"/>
        <color theme="2" tint="-9.9948118533890809E-2"/>
      </font>
      <fill>
        <patternFill>
          <bgColor theme="2"/>
        </patternFill>
      </fill>
    </dxf>
  </dxfs>
  <tableStyles count="0" defaultTableStyle="TableStyleMedium2" defaultPivotStyle="PivotStyleLight16"/>
  <colors>
    <mruColors>
      <color rgb="FFC2E4DC"/>
      <color rgb="FF2B30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ing%20files\St%20Louis%20HED\Copy%20of%20Albion%20West%20End%20Model%20-%20STARK%20updat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pplication"/>
      <sheetName val="Parcels"/>
      <sheetName val="Summary of Impacts"/>
      <sheetName val="Project Operations"/>
      <sheetName val="Sources &amp; Uses"/>
      <sheetName val="Economic Activity"/>
      <sheetName val="Incentives Requested"/>
      <sheetName val="IRR Analysis"/>
      <sheetName val="CF Projection - No Incentive"/>
      <sheetName val="Sheet1"/>
      <sheetName val="CF Projection - With Incentives"/>
      <sheetName val="Property Sale Value"/>
      <sheetName val="IRR &amp; Cap Rate Evaluation"/>
      <sheetName val="RERC Cap &amp; Yield Rates"/>
      <sheetName val="CF Projection - No Incentiv (2)"/>
      <sheetName val="Sheet2"/>
      <sheetName val="Personal Property Tax"/>
      <sheetName val="RE Tax"/>
      <sheetName val="TIF Revenues"/>
      <sheetName val="CID-TDD Revenues"/>
      <sheetName val="Sales Tax Rebate"/>
      <sheetName val="Debt Payoff"/>
      <sheetName val="TIF Payoff"/>
      <sheetName val="City ROI"/>
      <sheetName val="City Return"/>
      <sheetName val="School Dist Return"/>
      <sheetName val="Score Card"/>
      <sheetName val="TDIS Report"/>
      <sheetName val="E-FIS Report (1)"/>
      <sheetName val="E-FIS Report (3)"/>
      <sheetName val="E-FIS Report (Dashboard)"/>
      <sheetName val="E-FIS Report (Dashboard) (2)"/>
      <sheetName val="E-FIS Report (Dashboard) (3)"/>
      <sheetName val="New_Dashboard"/>
      <sheetName val="DashChartData"/>
      <sheetName val="Back-End Variables"/>
      <sheetName val="E-FIS Report (2)"/>
      <sheetName val="New_Dashboard (2)"/>
      <sheetName val="Sheet6"/>
      <sheetName val="Replacement Project Window"/>
      <sheetName val="Tax Tables"/>
      <sheetName val="Tax Tables 15-year"/>
      <sheetName val="Tax Tables 20-year"/>
      <sheetName val="Sheet5"/>
      <sheetName val="Sheet5 (2)"/>
      <sheetName val="Assessors Office Data"/>
      <sheetName val="Scoring Requirements"/>
      <sheetName val="Par Value Requirements"/>
      <sheetName val="Sustainability Requirements"/>
      <sheetName val="Database Tracking Variables"/>
      <sheetName val="Drop Downs"/>
      <sheetName val="Sheet3"/>
      <sheetName val="PSW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stlouis-mo.gov/government/departments/sldc/documents/nc-affidavit.cf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6297-0EB6-4D3C-AF7C-57E83A1BC4D3}">
  <sheetPr>
    <tabColor theme="7" tint="0.39997558519241921"/>
    <pageSetUpPr fitToPage="1"/>
  </sheetPr>
  <dimension ref="A1:F143"/>
  <sheetViews>
    <sheetView tabSelected="1" zoomScaleNormal="100" workbookViewId="0">
      <selection activeCell="A139" sqref="A139"/>
    </sheetView>
  </sheetViews>
  <sheetFormatPr defaultColWidth="9.140625" defaultRowHeight="15.75" x14ac:dyDescent="0.2"/>
  <cols>
    <col min="1" max="1" width="2.7109375" style="7" customWidth="1"/>
    <col min="2" max="2" width="50.140625" style="1" customWidth="1"/>
    <col min="3" max="4" width="9.140625" style="1"/>
    <col min="5" max="5" width="44.7109375" style="1" customWidth="1"/>
    <col min="6" max="16384" width="9.140625" style="1"/>
  </cols>
  <sheetData>
    <row r="1" spans="1:5" s="6" customFormat="1" ht="18.75" x14ac:dyDescent="0.2">
      <c r="A1" s="6" t="s">
        <v>0</v>
      </c>
      <c r="E1" s="128"/>
    </row>
    <row r="2" spans="1:5" s="6" customFormat="1" ht="18.75" x14ac:dyDescent="0.2">
      <c r="B2" s="6" t="s">
        <v>12</v>
      </c>
      <c r="E2" s="129"/>
    </row>
    <row r="4" spans="1:5" x14ac:dyDescent="0.2">
      <c r="A4" s="7" t="s">
        <v>1</v>
      </c>
    </row>
    <row r="5" spans="1:5" x14ac:dyDescent="0.2">
      <c r="B5" s="1" t="s">
        <v>8</v>
      </c>
      <c r="E5" s="115"/>
    </row>
    <row r="6" spans="1:5" x14ac:dyDescent="0.2">
      <c r="B6" s="1" t="s">
        <v>4</v>
      </c>
      <c r="E6" s="8"/>
    </row>
    <row r="7" spans="1:5" x14ac:dyDescent="0.2">
      <c r="B7" s="1" t="s">
        <v>5</v>
      </c>
      <c r="E7" s="8"/>
    </row>
    <row r="8" spans="1:5" x14ac:dyDescent="0.2">
      <c r="B8" s="1" t="s">
        <v>6</v>
      </c>
      <c r="E8" s="8"/>
    </row>
    <row r="9" spans="1:5" x14ac:dyDescent="0.2">
      <c r="B9" s="1" t="s">
        <v>7</v>
      </c>
      <c r="E9" s="4"/>
    </row>
    <row r="10" spans="1:5" x14ac:dyDescent="0.2">
      <c r="B10" s="1" t="s">
        <v>9</v>
      </c>
      <c r="E10" s="8"/>
    </row>
    <row r="11" spans="1:5" x14ac:dyDescent="0.2">
      <c r="B11" s="1" t="s">
        <v>10</v>
      </c>
      <c r="E11" s="8"/>
    </row>
    <row r="12" spans="1:5" ht="8.1" customHeight="1" x14ac:dyDescent="0.2"/>
    <row r="13" spans="1:5" x14ac:dyDescent="0.2">
      <c r="B13" s="1" t="s">
        <v>11</v>
      </c>
      <c r="E13" s="8"/>
    </row>
    <row r="14" spans="1:5" x14ac:dyDescent="0.2">
      <c r="B14" s="1" t="s">
        <v>5</v>
      </c>
      <c r="E14" s="8"/>
    </row>
    <row r="15" spans="1:5" x14ac:dyDescent="0.2">
      <c r="B15" s="1" t="s">
        <v>6</v>
      </c>
      <c r="E15" s="8"/>
    </row>
    <row r="16" spans="1:5" x14ac:dyDescent="0.2">
      <c r="B16" s="1" t="s">
        <v>7</v>
      </c>
      <c r="E16" s="8"/>
    </row>
    <row r="17" spans="1:5" x14ac:dyDescent="0.2">
      <c r="B17" s="1" t="s">
        <v>9</v>
      </c>
      <c r="E17" s="8"/>
    </row>
    <row r="19" spans="1:5" x14ac:dyDescent="0.2">
      <c r="A19" s="7" t="s">
        <v>2</v>
      </c>
    </row>
    <row r="20" spans="1:5" x14ac:dyDescent="0.2">
      <c r="B20" s="1" t="s">
        <v>96</v>
      </c>
    </row>
    <row r="21" spans="1:5" ht="8.1" customHeight="1" x14ac:dyDescent="0.2"/>
    <row r="22" spans="1:5" x14ac:dyDescent="0.2">
      <c r="B22" s="1" t="s">
        <v>3</v>
      </c>
      <c r="E22" s="8"/>
    </row>
    <row r="23" spans="1:5" x14ac:dyDescent="0.2">
      <c r="B23" s="1" t="s">
        <v>4</v>
      </c>
      <c r="E23" s="8"/>
    </row>
    <row r="24" spans="1:5" x14ac:dyDescent="0.2">
      <c r="B24" s="1" t="s">
        <v>5</v>
      </c>
      <c r="E24" s="8"/>
    </row>
    <row r="25" spans="1:5" x14ac:dyDescent="0.2">
      <c r="B25" s="1" t="s">
        <v>6</v>
      </c>
      <c r="E25" s="8"/>
    </row>
    <row r="26" spans="1:5" x14ac:dyDescent="0.2">
      <c r="B26" s="1" t="s">
        <v>7</v>
      </c>
      <c r="E26" s="4"/>
    </row>
    <row r="28" spans="1:5" x14ac:dyDescent="0.2">
      <c r="A28" s="7" t="s">
        <v>44</v>
      </c>
    </row>
    <row r="29" spans="1:5" x14ac:dyDescent="0.2">
      <c r="B29" s="1" t="s">
        <v>34</v>
      </c>
      <c r="E29" s="9"/>
    </row>
    <row r="30" spans="1:5" x14ac:dyDescent="0.2">
      <c r="B30" s="1" t="s">
        <v>35</v>
      </c>
      <c r="E30" s="9"/>
    </row>
    <row r="31" spans="1:5" ht="8.1" customHeight="1" x14ac:dyDescent="0.2"/>
    <row r="32" spans="1:5" x14ac:dyDescent="0.2">
      <c r="B32" s="1" t="s">
        <v>36</v>
      </c>
    </row>
    <row r="33" spans="2:5" x14ac:dyDescent="0.2">
      <c r="B33" s="3" t="s">
        <v>45</v>
      </c>
      <c r="C33" s="3"/>
      <c r="D33" s="3"/>
      <c r="E33" s="3" t="s">
        <v>46</v>
      </c>
    </row>
    <row r="34" spans="2:5" x14ac:dyDescent="0.2">
      <c r="B34" s="8" t="s">
        <v>37</v>
      </c>
      <c r="E34" s="4"/>
    </row>
    <row r="35" spans="2:5" x14ac:dyDescent="0.2">
      <c r="B35" s="8" t="s">
        <v>38</v>
      </c>
      <c r="E35" s="4"/>
    </row>
    <row r="36" spans="2:5" x14ac:dyDescent="0.2">
      <c r="B36" s="8" t="s">
        <v>39</v>
      </c>
      <c r="E36" s="4"/>
    </row>
    <row r="37" spans="2:5" x14ac:dyDescent="0.2">
      <c r="B37" s="8" t="s">
        <v>40</v>
      </c>
      <c r="E37" s="4"/>
    </row>
    <row r="38" spans="2:5" ht="8.1" customHeight="1" x14ac:dyDescent="0.2"/>
    <row r="39" spans="2:5" x14ac:dyDescent="0.2">
      <c r="B39" s="1" t="s">
        <v>47</v>
      </c>
    </row>
    <row r="40" spans="2:5" x14ac:dyDescent="0.2">
      <c r="B40" s="3" t="s">
        <v>45</v>
      </c>
      <c r="C40" s="3"/>
      <c r="D40" s="3"/>
      <c r="E40" s="3" t="s">
        <v>48</v>
      </c>
    </row>
    <row r="41" spans="2:5" x14ac:dyDescent="0.2">
      <c r="B41" s="8" t="s">
        <v>41</v>
      </c>
      <c r="E41" s="11">
        <v>0</v>
      </c>
    </row>
    <row r="42" spans="2:5" x14ac:dyDescent="0.2">
      <c r="B42" s="8" t="s">
        <v>42</v>
      </c>
      <c r="E42" s="11">
        <v>0</v>
      </c>
    </row>
    <row r="43" spans="2:5" x14ac:dyDescent="0.2">
      <c r="B43" s="8" t="s">
        <v>43</v>
      </c>
      <c r="E43" s="11">
        <v>0</v>
      </c>
    </row>
    <row r="44" spans="2:5" ht="8.1" customHeight="1" x14ac:dyDescent="0.2"/>
    <row r="45" spans="2:5" x14ac:dyDescent="0.2">
      <c r="B45" s="1" t="s">
        <v>49</v>
      </c>
      <c r="E45" s="9" t="s">
        <v>74</v>
      </c>
    </row>
    <row r="46" spans="2:5" x14ac:dyDescent="0.2">
      <c r="B46" s="1" t="s">
        <v>50</v>
      </c>
      <c r="E46" s="9"/>
    </row>
    <row r="47" spans="2:5" ht="8.1" customHeight="1" x14ac:dyDescent="0.2"/>
    <row r="48" spans="2:5" x14ac:dyDescent="0.2">
      <c r="B48" s="1" t="s">
        <v>54</v>
      </c>
      <c r="E48" s="4"/>
    </row>
    <row r="49" spans="1:6" ht="8.1" customHeight="1" x14ac:dyDescent="0.2"/>
    <row r="50" spans="1:6" ht="30" customHeight="1" x14ac:dyDescent="0.2">
      <c r="B50" s="120" t="s">
        <v>51</v>
      </c>
      <c r="C50" s="120"/>
      <c r="D50" s="120"/>
      <c r="E50" s="9"/>
    </row>
    <row r="51" spans="1:6" ht="8.1" customHeight="1" x14ac:dyDescent="0.2"/>
    <row r="52" spans="1:6" x14ac:dyDescent="0.2">
      <c r="B52" s="1" t="s">
        <v>53</v>
      </c>
      <c r="E52" s="4"/>
    </row>
    <row r="53" spans="1:6" ht="8.1" customHeight="1" x14ac:dyDescent="0.2"/>
    <row r="54" spans="1:6" x14ac:dyDescent="0.2">
      <c r="B54" s="1" t="s">
        <v>52</v>
      </c>
      <c r="E54" s="9"/>
    </row>
    <row r="55" spans="1:6" x14ac:dyDescent="0.2">
      <c r="B55" s="1" t="s">
        <v>55</v>
      </c>
      <c r="E55" s="9"/>
    </row>
    <row r="57" spans="1:6" x14ac:dyDescent="0.2">
      <c r="A57" s="7" t="s">
        <v>56</v>
      </c>
    </row>
    <row r="58" spans="1:6" x14ac:dyDescent="0.2">
      <c r="B58" s="1" t="s">
        <v>12</v>
      </c>
      <c r="E58" s="124"/>
    </row>
    <row r="59" spans="1:6" x14ac:dyDescent="0.2">
      <c r="B59" s="1" t="s">
        <v>13</v>
      </c>
    </row>
    <row r="60" spans="1:6" s="2" customFormat="1" ht="30" customHeight="1" x14ac:dyDescent="0.2">
      <c r="A60" s="5"/>
      <c r="B60" s="119"/>
      <c r="C60" s="118"/>
      <c r="D60" s="118"/>
      <c r="E60" s="118"/>
    </row>
    <row r="61" spans="1:6" x14ac:dyDescent="0.2">
      <c r="B61" s="1" t="s">
        <v>14</v>
      </c>
      <c r="E61" s="8"/>
      <c r="F61" s="10"/>
    </row>
    <row r="62" spans="1:6" x14ac:dyDescent="0.2">
      <c r="B62" s="1" t="s">
        <v>62</v>
      </c>
      <c r="E62" s="14"/>
      <c r="F62" s="10"/>
    </row>
    <row r="63" spans="1:6" x14ac:dyDescent="0.2">
      <c r="B63" s="1" t="s">
        <v>63</v>
      </c>
      <c r="E63" s="14"/>
      <c r="F63" s="10"/>
    </row>
    <row r="64" spans="1:6" x14ac:dyDescent="0.2">
      <c r="B64" s="1" t="s">
        <v>16</v>
      </c>
      <c r="E64" s="12">
        <f>Residential!G9*Residential!G10+SUM(Residential!D53:F53)</f>
        <v>0</v>
      </c>
    </row>
    <row r="65" spans="1:6" x14ac:dyDescent="0.2">
      <c r="B65" s="1" t="s">
        <v>17</v>
      </c>
      <c r="E65" s="12">
        <f>'Retail-Hotel'!G10+'Retail-Hotel'!D67+'Office-Industrial'!G10</f>
        <v>0</v>
      </c>
    </row>
    <row r="66" spans="1:6" x14ac:dyDescent="0.2">
      <c r="B66" s="1" t="s">
        <v>18</v>
      </c>
      <c r="E66" s="12">
        <f>'Office-Industrial'!G63</f>
        <v>0</v>
      </c>
    </row>
    <row r="67" spans="1:6" x14ac:dyDescent="0.2">
      <c r="B67" s="1" t="s">
        <v>15</v>
      </c>
      <c r="E67" s="12">
        <f>Residential!G9</f>
        <v>0</v>
      </c>
    </row>
    <row r="68" spans="1:6" x14ac:dyDescent="0.2">
      <c r="B68" s="1" t="s">
        <v>33</v>
      </c>
      <c r="E68" s="16">
        <v>0</v>
      </c>
    </row>
    <row r="69" spans="1:6" x14ac:dyDescent="0.2">
      <c r="B69" s="1" t="s">
        <v>19</v>
      </c>
      <c r="E69" s="16">
        <v>0</v>
      </c>
    </row>
    <row r="71" spans="1:6" x14ac:dyDescent="0.2">
      <c r="A71" s="7" t="s">
        <v>57</v>
      </c>
    </row>
    <row r="72" spans="1:6" x14ac:dyDescent="0.2">
      <c r="B72" s="1" t="s">
        <v>20</v>
      </c>
      <c r="E72" s="116"/>
    </row>
    <row r="73" spans="1:6" x14ac:dyDescent="0.2">
      <c r="B73" s="1" t="s">
        <v>21</v>
      </c>
      <c r="E73" s="109"/>
    </row>
    <row r="74" spans="1:6" x14ac:dyDescent="0.2">
      <c r="B74" s="1" t="s">
        <v>22</v>
      </c>
      <c r="E74" s="9"/>
    </row>
    <row r="75" spans="1:6" x14ac:dyDescent="0.2">
      <c r="B75" s="1" t="s">
        <v>31</v>
      </c>
      <c r="E75" s="8"/>
      <c r="F75" s="10"/>
    </row>
    <row r="76" spans="1:6" x14ac:dyDescent="0.2">
      <c r="B76" s="1" t="s">
        <v>29</v>
      </c>
      <c r="D76" s="23" t="s">
        <v>32</v>
      </c>
      <c r="E76" s="13"/>
      <c r="F76" s="10"/>
    </row>
    <row r="77" spans="1:6" x14ac:dyDescent="0.2">
      <c r="B77" s="1" t="s">
        <v>23</v>
      </c>
      <c r="D77" s="24"/>
      <c r="E77" s="8"/>
      <c r="F77" s="10"/>
    </row>
    <row r="78" spans="1:6" x14ac:dyDescent="0.2">
      <c r="B78" s="1" t="s">
        <v>30</v>
      </c>
      <c r="D78" s="24"/>
      <c r="E78" s="8"/>
      <c r="F78" s="10"/>
    </row>
    <row r="79" spans="1:6" ht="8.1" customHeight="1" x14ac:dyDescent="0.2">
      <c r="D79" s="24"/>
    </row>
    <row r="80" spans="1:6" x14ac:dyDescent="0.2">
      <c r="B80" s="1" t="s">
        <v>24</v>
      </c>
      <c r="D80" s="24"/>
      <c r="E80" s="16">
        <v>0</v>
      </c>
    </row>
    <row r="81" spans="1:5" x14ac:dyDescent="0.2">
      <c r="B81" s="1" t="s">
        <v>25</v>
      </c>
      <c r="D81" s="24"/>
      <c r="E81" s="16">
        <v>0</v>
      </c>
    </row>
    <row r="82" spans="1:5" ht="8.1" customHeight="1" x14ac:dyDescent="0.2">
      <c r="D82" s="24"/>
    </row>
    <row r="83" spans="1:5" x14ac:dyDescent="0.2">
      <c r="B83" s="1" t="s">
        <v>26</v>
      </c>
      <c r="D83" s="24"/>
      <c r="E83" s="8"/>
    </row>
    <row r="84" spans="1:5" x14ac:dyDescent="0.2">
      <c r="B84" s="1" t="s">
        <v>27</v>
      </c>
      <c r="D84" s="23" t="s">
        <v>32</v>
      </c>
      <c r="E84" s="13"/>
    </row>
    <row r="85" spans="1:5" x14ac:dyDescent="0.2">
      <c r="B85" s="1" t="s">
        <v>28</v>
      </c>
      <c r="D85" s="23" t="s">
        <v>32</v>
      </c>
      <c r="E85" s="13"/>
    </row>
    <row r="87" spans="1:5" x14ac:dyDescent="0.2">
      <c r="A87" s="7" t="s">
        <v>58</v>
      </c>
    </row>
    <row r="88" spans="1:5" ht="45" customHeight="1" x14ac:dyDescent="0.2">
      <c r="B88" s="120" t="s">
        <v>59</v>
      </c>
      <c r="C88" s="120"/>
      <c r="D88" s="120"/>
      <c r="E88" s="120"/>
    </row>
    <row r="89" spans="1:5" ht="45" customHeight="1" x14ac:dyDescent="0.2">
      <c r="B89" s="118"/>
      <c r="C89" s="118"/>
      <c r="D89" s="118"/>
      <c r="E89" s="118"/>
    </row>
    <row r="90" spans="1:5" ht="8.1" customHeight="1" x14ac:dyDescent="0.2"/>
    <row r="91" spans="1:5" x14ac:dyDescent="0.2">
      <c r="B91" s="120" t="s">
        <v>60</v>
      </c>
      <c r="C91" s="120"/>
      <c r="D91" s="120"/>
      <c r="E91" s="120"/>
    </row>
    <row r="92" spans="1:5" ht="45" customHeight="1" x14ac:dyDescent="0.2">
      <c r="B92" s="118"/>
      <c r="C92" s="118"/>
      <c r="D92" s="118"/>
      <c r="E92" s="118"/>
    </row>
    <row r="93" spans="1:5" ht="8.1" customHeight="1" x14ac:dyDescent="0.2"/>
    <row r="94" spans="1:5" x14ac:dyDescent="0.2">
      <c r="B94" s="1" t="s">
        <v>61</v>
      </c>
      <c r="E94" s="8"/>
    </row>
    <row r="95" spans="1:5" ht="8.1" customHeight="1" x14ac:dyDescent="0.2"/>
    <row r="96" spans="1:5" x14ac:dyDescent="0.2">
      <c r="B96" s="1" t="s">
        <v>64</v>
      </c>
      <c r="E96" s="8"/>
    </row>
    <row r="97" spans="1:5" ht="8.1" customHeight="1" x14ac:dyDescent="0.2"/>
    <row r="98" spans="1:5" x14ac:dyDescent="0.2">
      <c r="B98" s="1" t="s">
        <v>65</v>
      </c>
    </row>
    <row r="99" spans="1:5" x14ac:dyDescent="0.2">
      <c r="B99" s="118"/>
      <c r="C99" s="118"/>
      <c r="D99" s="118"/>
      <c r="E99" s="118"/>
    </row>
    <row r="101" spans="1:5" x14ac:dyDescent="0.2">
      <c r="A101" s="7" t="s">
        <v>66</v>
      </c>
    </row>
    <row r="102" spans="1:5" x14ac:dyDescent="0.2">
      <c r="B102" s="1" t="s">
        <v>67</v>
      </c>
      <c r="E102" s="8"/>
    </row>
    <row r="103" spans="1:5" x14ac:dyDescent="0.2">
      <c r="B103" s="1" t="s">
        <v>5</v>
      </c>
      <c r="E103" s="8"/>
    </row>
    <row r="104" spans="1:5" x14ac:dyDescent="0.2">
      <c r="B104" s="1" t="s">
        <v>6</v>
      </c>
      <c r="E104" s="8"/>
    </row>
    <row r="105" spans="1:5" x14ac:dyDescent="0.2">
      <c r="B105" s="1" t="s">
        <v>7</v>
      </c>
      <c r="E105" s="8"/>
    </row>
    <row r="106" spans="1:5" x14ac:dyDescent="0.2">
      <c r="B106" s="1" t="s">
        <v>9</v>
      </c>
      <c r="E106" s="8"/>
    </row>
    <row r="107" spans="1:5" ht="8.1" customHeight="1" x14ac:dyDescent="0.2"/>
    <row r="108" spans="1:5" x14ac:dyDescent="0.2">
      <c r="B108" s="1" t="s">
        <v>73</v>
      </c>
      <c r="E108" s="9"/>
    </row>
    <row r="109" spans="1:5" x14ac:dyDescent="0.2">
      <c r="B109" s="1" t="s">
        <v>68</v>
      </c>
      <c r="E109" s="9"/>
    </row>
    <row r="110" spans="1:5" x14ac:dyDescent="0.2">
      <c r="B110" s="1" t="s">
        <v>69</v>
      </c>
      <c r="E110" s="9"/>
    </row>
    <row r="111" spans="1:5" x14ac:dyDescent="0.2">
      <c r="B111" s="1" t="s">
        <v>70</v>
      </c>
      <c r="E111" s="15">
        <v>0</v>
      </c>
    </row>
    <row r="112" spans="1:5" ht="8.1" customHeight="1" x14ac:dyDescent="0.2"/>
    <row r="113" spans="1:5" x14ac:dyDescent="0.2">
      <c r="B113" s="1" t="s">
        <v>72</v>
      </c>
      <c r="E113" s="8"/>
    </row>
    <row r="114" spans="1:5" x14ac:dyDescent="0.2">
      <c r="B114" s="1" t="s">
        <v>71</v>
      </c>
      <c r="E114" s="15">
        <v>0</v>
      </c>
    </row>
    <row r="115" spans="1:5" ht="8.1" customHeight="1" x14ac:dyDescent="0.2"/>
    <row r="116" spans="1:5" x14ac:dyDescent="0.2">
      <c r="B116" s="1" t="s">
        <v>75</v>
      </c>
      <c r="E116" s="11">
        <v>0</v>
      </c>
    </row>
    <row r="118" spans="1:5" x14ac:dyDescent="0.2">
      <c r="E118" s="3"/>
    </row>
    <row r="119" spans="1:5" x14ac:dyDescent="0.2">
      <c r="A119" s="7" t="s">
        <v>659</v>
      </c>
    </row>
    <row r="120" spans="1:5" x14ac:dyDescent="0.2">
      <c r="B120" s="1" t="s">
        <v>76</v>
      </c>
    </row>
    <row r="121" spans="1:5" x14ac:dyDescent="0.2">
      <c r="B121" s="3" t="s">
        <v>77</v>
      </c>
      <c r="C121" s="3" t="s">
        <v>78</v>
      </c>
      <c r="E121" s="3" t="s">
        <v>79</v>
      </c>
    </row>
    <row r="122" spans="1:5" x14ac:dyDescent="0.2">
      <c r="B122" s="20" t="s">
        <v>80</v>
      </c>
      <c r="C122" s="17">
        <v>0</v>
      </c>
      <c r="E122" s="15">
        <v>0</v>
      </c>
    </row>
    <row r="123" spans="1:5" x14ac:dyDescent="0.2">
      <c r="B123" s="20" t="s">
        <v>81</v>
      </c>
      <c r="C123" s="17">
        <v>0</v>
      </c>
      <c r="E123" s="15">
        <v>0</v>
      </c>
    </row>
    <row r="124" spans="1:5" x14ac:dyDescent="0.2">
      <c r="B124" s="20" t="s">
        <v>82</v>
      </c>
      <c r="C124" s="17">
        <v>0</v>
      </c>
      <c r="E124" s="15">
        <v>0</v>
      </c>
    </row>
    <row r="125" spans="1:5" x14ac:dyDescent="0.2">
      <c r="B125" s="20" t="s">
        <v>83</v>
      </c>
      <c r="C125" s="17">
        <v>0</v>
      </c>
      <c r="E125" s="15">
        <v>0</v>
      </c>
    </row>
    <row r="126" spans="1:5" x14ac:dyDescent="0.2">
      <c r="B126" s="20" t="s">
        <v>84</v>
      </c>
      <c r="C126" s="17">
        <v>0</v>
      </c>
      <c r="E126" s="15">
        <v>0</v>
      </c>
    </row>
    <row r="127" spans="1:5" x14ac:dyDescent="0.2">
      <c r="B127" s="20" t="s">
        <v>85</v>
      </c>
      <c r="C127" s="17">
        <v>0</v>
      </c>
      <c r="E127" s="15">
        <v>0</v>
      </c>
    </row>
    <row r="128" spans="1:5" x14ac:dyDescent="0.2">
      <c r="B128" s="20" t="s">
        <v>86</v>
      </c>
      <c r="C128" s="17">
        <v>0</v>
      </c>
      <c r="E128" s="15">
        <v>0</v>
      </c>
    </row>
    <row r="129" spans="1:6" ht="8.1" customHeight="1" x14ac:dyDescent="0.2"/>
    <row r="130" spans="1:6" x14ac:dyDescent="0.2">
      <c r="B130" s="1" t="s">
        <v>87</v>
      </c>
      <c r="C130" s="17">
        <v>0</v>
      </c>
    </row>
    <row r="132" spans="1:6" x14ac:dyDescent="0.2">
      <c r="A132" s="7" t="s">
        <v>660</v>
      </c>
    </row>
    <row r="133" spans="1:6" x14ac:dyDescent="0.2">
      <c r="E133" s="9"/>
      <c r="F133" s="10"/>
    </row>
    <row r="134" spans="1:6" x14ac:dyDescent="0.2">
      <c r="B134" s="1" t="s">
        <v>88</v>
      </c>
      <c r="E134" s="9"/>
    </row>
    <row r="135" spans="1:6" x14ac:dyDescent="0.2">
      <c r="B135" s="1" t="s">
        <v>89</v>
      </c>
      <c r="E135" s="9"/>
    </row>
    <row r="136" spans="1:6" x14ac:dyDescent="0.2">
      <c r="B136" s="1" t="s">
        <v>90</v>
      </c>
      <c r="E136" s="18"/>
    </row>
    <row r="138" spans="1:6" x14ac:dyDescent="0.2">
      <c r="A138" s="7" t="s">
        <v>661</v>
      </c>
    </row>
    <row r="139" spans="1:6" x14ac:dyDescent="0.2">
      <c r="B139" s="1" t="s">
        <v>95</v>
      </c>
      <c r="E139" s="19"/>
    </row>
    <row r="140" spans="1:6" x14ac:dyDescent="0.2">
      <c r="B140" s="21" t="s">
        <v>91</v>
      </c>
    </row>
    <row r="141" spans="1:6" x14ac:dyDescent="0.2">
      <c r="B141" s="22" t="s">
        <v>92</v>
      </c>
    </row>
    <row r="142" spans="1:6" x14ac:dyDescent="0.2">
      <c r="B142" s="22" t="s">
        <v>93</v>
      </c>
    </row>
    <row r="143" spans="1:6" x14ac:dyDescent="0.2">
      <c r="B143" s="22" t="s">
        <v>94</v>
      </c>
    </row>
  </sheetData>
  <mergeCells count="7">
    <mergeCell ref="B92:E92"/>
    <mergeCell ref="B99:E99"/>
    <mergeCell ref="B60:E60"/>
    <mergeCell ref="B50:D50"/>
    <mergeCell ref="B89:E89"/>
    <mergeCell ref="B88:E88"/>
    <mergeCell ref="B91:E91"/>
  </mergeCells>
  <dataValidations disablePrompts="1" count="3">
    <dataValidation type="list" allowBlank="1" showInputMessage="1" showErrorMessage="1" sqref="E85 E45:E46 E50 E54 E109:E110 E113" xr:uid="{2BD9A7D1-7559-43AE-B488-F6D12503E45B}">
      <formula1>"Yes, No"</formula1>
    </dataValidation>
    <dataValidation type="list" allowBlank="1" showInputMessage="1" showErrorMessage="1" sqref="E55" xr:uid="{DFC91E09-FE7F-4688-9C5B-637B031D9BD9}">
      <formula1>"Yes, No, Partial"</formula1>
    </dataValidation>
    <dataValidation type="list" allowBlank="1" showInputMessage="1" showErrorMessage="1" sqref="E96" xr:uid="{0293B345-A3F7-49A8-AA12-ADF20AE3D0EE}">
      <formula1>"New project, Expansion, Replacement, Relocation"</formula1>
    </dataValidation>
  </dataValidations>
  <hyperlinks>
    <hyperlink ref="B140" r:id="rId1" xr:uid="{E19EF0DE-23C0-40C0-AA41-D47386CB417D}"/>
  </hyperlinks>
  <pageMargins left="0.7" right="0.7" top="0.75" bottom="0.75" header="0.3" footer="0.3"/>
  <pageSetup scale="79" fitToHeight="0" orientation="portrait" horizontalDpi="0" verticalDpi="0" r:id="rId2"/>
  <headerFooter>
    <oddFooter>&amp;L&amp;F
&amp;D; &amp;T&amp;RPage &amp;P of &amp;N</oddFooter>
  </headerFooter>
  <rowBreaks count="3" manualBreakCount="3">
    <brk id="56" max="5" man="1"/>
    <brk id="100" max="5" man="1"/>
    <brk id="131" max="5"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474E-087D-4B03-AED2-5D211BCFD2B6}">
  <sheetPr>
    <tabColor theme="2" tint="-9.9978637043366805E-2"/>
  </sheetPr>
  <dimension ref="B3:AB84"/>
  <sheetViews>
    <sheetView workbookViewId="0">
      <selection activeCell="A30" sqref="A30"/>
    </sheetView>
  </sheetViews>
  <sheetFormatPr defaultColWidth="9.140625" defaultRowHeight="15" x14ac:dyDescent="0.2"/>
  <cols>
    <col min="1" max="2" width="9.140625" style="3"/>
    <col min="3" max="3" width="4.7109375" style="3" customWidth="1"/>
    <col min="4" max="4" width="9.140625" style="3"/>
    <col min="5" max="5" width="4.7109375" style="3" customWidth="1"/>
    <col min="6" max="6" width="6.7109375" style="3" bestFit="1" customWidth="1"/>
    <col min="7" max="7" width="4.7109375" style="3" customWidth="1"/>
    <col min="8" max="8" width="10.42578125" style="3" bestFit="1" customWidth="1"/>
    <col min="9" max="9" width="4.7109375" style="3" customWidth="1"/>
    <col min="10" max="11" width="9.140625" style="3"/>
    <col min="12" max="12" width="4.7109375" style="3" customWidth="1"/>
    <col min="13" max="13" width="9.140625" style="3"/>
    <col min="14" max="14" width="4.7109375" style="3" customWidth="1"/>
    <col min="15" max="15" width="31.5703125" style="2" bestFit="1" customWidth="1"/>
    <col min="16" max="16" width="4.7109375" style="3" customWidth="1"/>
    <col min="17" max="17" width="10.85546875" style="3" bestFit="1" customWidth="1"/>
    <col min="18" max="19" width="4.7109375" style="3" customWidth="1"/>
    <col min="20" max="20" width="57.5703125" style="3" bestFit="1" customWidth="1"/>
    <col min="21" max="21" width="10.7109375" style="3" bestFit="1" customWidth="1"/>
    <col min="22" max="22" width="10.7109375" style="3" customWidth="1"/>
    <col min="23" max="23" width="4.7109375" style="3" customWidth="1"/>
    <col min="24" max="24" width="14" style="3" bestFit="1" customWidth="1"/>
    <col min="25" max="25" width="4.7109375" style="3" customWidth="1"/>
    <col min="26" max="16384" width="9.140625" style="3"/>
  </cols>
  <sheetData>
    <row r="3" spans="2:28" s="92" customFormat="1" ht="15.75" x14ac:dyDescent="0.2">
      <c r="B3" s="92" t="s">
        <v>438</v>
      </c>
      <c r="D3" s="93" t="s">
        <v>439</v>
      </c>
      <c r="F3" s="92" t="s">
        <v>624</v>
      </c>
      <c r="H3" s="92" t="s">
        <v>440</v>
      </c>
      <c r="J3" s="92" t="s">
        <v>441</v>
      </c>
      <c r="M3" s="92" t="s">
        <v>452</v>
      </c>
      <c r="O3" s="92" t="s">
        <v>533</v>
      </c>
      <c r="Q3" s="92" t="s">
        <v>543</v>
      </c>
      <c r="T3" s="92" t="s">
        <v>619</v>
      </c>
      <c r="U3" s="92" t="s">
        <v>620</v>
      </c>
      <c r="V3" s="92" t="s">
        <v>648</v>
      </c>
      <c r="X3" s="92" t="s">
        <v>635</v>
      </c>
      <c r="AB3" s="92" t="s">
        <v>620</v>
      </c>
    </row>
    <row r="4" spans="2:28" x14ac:dyDescent="0.2">
      <c r="B4" s="3" t="s">
        <v>106</v>
      </c>
      <c r="D4" s="3">
        <v>1</v>
      </c>
      <c r="F4" s="3" t="s">
        <v>542</v>
      </c>
      <c r="G4" s="3">
        <v>1</v>
      </c>
      <c r="H4" s="94">
        <v>2.5000000000000001E-3</v>
      </c>
      <c r="J4" s="3">
        <v>63101</v>
      </c>
      <c r="K4" s="3" t="s">
        <v>622</v>
      </c>
      <c r="M4" s="3" t="s">
        <v>442</v>
      </c>
      <c r="O4" s="2" t="s">
        <v>453</v>
      </c>
      <c r="Q4" s="3" t="s">
        <v>544</v>
      </c>
      <c r="R4" s="3">
        <v>1</v>
      </c>
      <c r="T4" s="2" t="s">
        <v>555</v>
      </c>
      <c r="U4" s="3">
        <v>7</v>
      </c>
      <c r="V4" s="3" t="s">
        <v>650</v>
      </c>
      <c r="X4" s="2" t="s">
        <v>630</v>
      </c>
      <c r="AB4" s="3">
        <v>3</v>
      </c>
    </row>
    <row r="5" spans="2:28" x14ac:dyDescent="0.2">
      <c r="B5" s="3" t="s">
        <v>74</v>
      </c>
      <c r="D5" s="3">
        <v>2</v>
      </c>
      <c r="F5" s="3" t="s">
        <v>534</v>
      </c>
      <c r="G5" s="3">
        <v>2</v>
      </c>
      <c r="H5" s="94">
        <v>5.0000000000000001E-3</v>
      </c>
      <c r="J5" s="3">
        <v>63102</v>
      </c>
      <c r="K5" s="3" t="s">
        <v>622</v>
      </c>
      <c r="M5" s="3" t="s">
        <v>443</v>
      </c>
      <c r="O5" s="2" t="s">
        <v>454</v>
      </c>
      <c r="Q5" s="3" t="s">
        <v>545</v>
      </c>
      <c r="R5" s="3">
        <v>0.91666666666666663</v>
      </c>
      <c r="T5" s="2" t="s">
        <v>556</v>
      </c>
      <c r="U5" s="3">
        <v>5</v>
      </c>
      <c r="V5" s="3" t="s">
        <v>650</v>
      </c>
      <c r="X5" s="2" t="s">
        <v>631</v>
      </c>
      <c r="AB5" s="3">
        <v>5</v>
      </c>
    </row>
    <row r="6" spans="2:28" x14ac:dyDescent="0.2">
      <c r="D6" s="3">
        <v>3</v>
      </c>
      <c r="F6" s="3" t="s">
        <v>535</v>
      </c>
      <c r="G6" s="3">
        <v>3</v>
      </c>
      <c r="H6" s="94">
        <v>7.4999999999999997E-3</v>
      </c>
      <c r="J6" s="3">
        <v>63103</v>
      </c>
      <c r="K6" s="3" t="s">
        <v>622</v>
      </c>
      <c r="M6" s="3" t="s">
        <v>444</v>
      </c>
      <c r="O6" s="2" t="s">
        <v>455</v>
      </c>
      <c r="Q6" s="3" t="s">
        <v>546</v>
      </c>
      <c r="R6" s="3">
        <v>0.83333333333333337</v>
      </c>
      <c r="T6" s="2" t="s">
        <v>557</v>
      </c>
      <c r="U6" s="3">
        <v>5</v>
      </c>
      <c r="V6" s="3" t="s">
        <v>650</v>
      </c>
      <c r="X6" s="2" t="s">
        <v>632</v>
      </c>
      <c r="AB6" s="3">
        <v>7</v>
      </c>
    </row>
    <row r="7" spans="2:28" x14ac:dyDescent="0.2">
      <c r="D7" s="3">
        <v>4</v>
      </c>
      <c r="F7" s="3" t="s">
        <v>536</v>
      </c>
      <c r="G7" s="3">
        <v>4</v>
      </c>
      <c r="H7" s="95">
        <v>0.01</v>
      </c>
      <c r="J7" s="3">
        <v>63104</v>
      </c>
      <c r="K7" s="3" t="s">
        <v>623</v>
      </c>
      <c r="M7" s="3" t="s">
        <v>445</v>
      </c>
      <c r="O7" s="2" t="s">
        <v>456</v>
      </c>
      <c r="Q7" s="3" t="s">
        <v>547</v>
      </c>
      <c r="R7" s="3">
        <v>0.75</v>
      </c>
      <c r="T7" s="2" t="s">
        <v>558</v>
      </c>
      <c r="U7" s="3">
        <v>5</v>
      </c>
      <c r="V7" s="3" t="s">
        <v>650</v>
      </c>
      <c r="X7" s="2" t="s">
        <v>633</v>
      </c>
      <c r="AB7" s="3">
        <v>10</v>
      </c>
    </row>
    <row r="8" spans="2:28" x14ac:dyDescent="0.2">
      <c r="D8" s="3">
        <v>5</v>
      </c>
      <c r="F8" s="3" t="s">
        <v>537</v>
      </c>
      <c r="G8" s="3">
        <v>5</v>
      </c>
      <c r="J8" s="3">
        <v>63106</v>
      </c>
      <c r="K8" s="3" t="s">
        <v>623</v>
      </c>
      <c r="M8" s="3" t="s">
        <v>446</v>
      </c>
      <c r="O8" s="2" t="s">
        <v>457</v>
      </c>
      <c r="Q8" s="3" t="s">
        <v>548</v>
      </c>
      <c r="R8" s="3">
        <v>0.66666666666666663</v>
      </c>
      <c r="T8" s="2" t="s">
        <v>559</v>
      </c>
      <c r="U8" s="3">
        <v>5</v>
      </c>
      <c r="V8" s="3" t="s">
        <v>650</v>
      </c>
      <c r="X8" s="2" t="s">
        <v>634</v>
      </c>
      <c r="AB8" s="3">
        <v>15</v>
      </c>
    </row>
    <row r="9" spans="2:28" x14ac:dyDescent="0.2">
      <c r="D9" s="3">
        <v>6</v>
      </c>
      <c r="F9" s="3" t="s">
        <v>538</v>
      </c>
      <c r="G9" s="3">
        <v>6</v>
      </c>
      <c r="J9" s="3">
        <v>63107</v>
      </c>
      <c r="K9" s="3" t="s">
        <v>623</v>
      </c>
      <c r="M9" s="3" t="s">
        <v>447</v>
      </c>
      <c r="O9" s="2" t="s">
        <v>458</v>
      </c>
      <c r="Q9" s="3" t="s">
        <v>549</v>
      </c>
      <c r="R9" s="3">
        <v>0.58333333333333337</v>
      </c>
      <c r="T9" s="2" t="s">
        <v>560</v>
      </c>
      <c r="U9" s="3">
        <v>5</v>
      </c>
      <c r="V9" s="3" t="s">
        <v>650</v>
      </c>
      <c r="X9" s="2"/>
      <c r="AB9" s="3">
        <v>20</v>
      </c>
    </row>
    <row r="10" spans="2:28" x14ac:dyDescent="0.2">
      <c r="D10" s="3">
        <v>7</v>
      </c>
      <c r="F10" s="3" t="s">
        <v>539</v>
      </c>
      <c r="G10" s="3">
        <v>7</v>
      </c>
      <c r="J10" s="3">
        <v>63108</v>
      </c>
      <c r="K10" s="3" t="s">
        <v>623</v>
      </c>
      <c r="M10" s="3" t="s">
        <v>448</v>
      </c>
      <c r="O10" s="2" t="s">
        <v>459</v>
      </c>
      <c r="Q10" s="3" t="s">
        <v>550</v>
      </c>
      <c r="R10" s="3">
        <v>0.5</v>
      </c>
      <c r="T10" s="2" t="s">
        <v>561</v>
      </c>
      <c r="U10" s="3">
        <v>5</v>
      </c>
      <c r="V10" s="3" t="s">
        <v>650</v>
      </c>
      <c r="AB10"/>
    </row>
    <row r="11" spans="2:28" x14ac:dyDescent="0.2">
      <c r="D11" s="3">
        <v>8</v>
      </c>
      <c r="F11" s="3" t="s">
        <v>540</v>
      </c>
      <c r="G11" s="3">
        <v>8</v>
      </c>
      <c r="J11" s="3">
        <v>63109</v>
      </c>
      <c r="K11" s="3" t="s">
        <v>623</v>
      </c>
      <c r="M11" s="3" t="s">
        <v>449</v>
      </c>
      <c r="O11" s="2" t="s">
        <v>460</v>
      </c>
      <c r="Q11" s="3" t="s">
        <v>551</v>
      </c>
      <c r="R11" s="3">
        <v>0.41666666666666669</v>
      </c>
      <c r="T11" s="2" t="s">
        <v>562</v>
      </c>
      <c r="U11" s="3">
        <v>5</v>
      </c>
      <c r="V11" s="3" t="s">
        <v>650</v>
      </c>
      <c r="AB11"/>
    </row>
    <row r="12" spans="2:28" x14ac:dyDescent="0.2">
      <c r="D12" s="3">
        <v>9</v>
      </c>
      <c r="F12" s="3" t="s">
        <v>541</v>
      </c>
      <c r="G12" s="3">
        <v>9</v>
      </c>
      <c r="J12" s="3">
        <v>63110</v>
      </c>
      <c r="K12" s="3" t="s">
        <v>622</v>
      </c>
      <c r="M12" s="3" t="s">
        <v>450</v>
      </c>
      <c r="O12" s="2" t="s">
        <v>461</v>
      </c>
      <c r="Q12" s="3" t="s">
        <v>105</v>
      </c>
      <c r="R12" s="3">
        <v>0.33333333333333331</v>
      </c>
      <c r="T12" s="2" t="s">
        <v>563</v>
      </c>
      <c r="U12" s="3">
        <v>5</v>
      </c>
      <c r="V12" s="3" t="s">
        <v>650</v>
      </c>
      <c r="AB12"/>
    </row>
    <row r="13" spans="2:28" x14ac:dyDescent="0.2">
      <c r="D13" s="3">
        <v>10</v>
      </c>
      <c r="J13" s="3">
        <v>63111</v>
      </c>
      <c r="K13" s="3" t="s">
        <v>623</v>
      </c>
      <c r="M13" s="3" t="s">
        <v>451</v>
      </c>
      <c r="O13" s="2" t="s">
        <v>462</v>
      </c>
      <c r="Q13" s="3" t="s">
        <v>552</v>
      </c>
      <c r="R13" s="3">
        <v>0.25</v>
      </c>
      <c r="T13" s="2" t="s">
        <v>564</v>
      </c>
      <c r="U13" s="3">
        <v>15</v>
      </c>
      <c r="V13" s="3" t="s">
        <v>650</v>
      </c>
      <c r="AB13"/>
    </row>
    <row r="14" spans="2:28" x14ac:dyDescent="0.2">
      <c r="D14" s="3">
        <v>11</v>
      </c>
      <c r="J14" s="3">
        <v>63112</v>
      </c>
      <c r="K14" s="3" t="s">
        <v>623</v>
      </c>
      <c r="O14" s="2" t="s">
        <v>463</v>
      </c>
      <c r="Q14" s="3" t="s">
        <v>553</v>
      </c>
      <c r="R14" s="3">
        <v>0.16666666666666666</v>
      </c>
      <c r="T14" s="2" t="s">
        <v>565</v>
      </c>
      <c r="U14" s="3">
        <v>5</v>
      </c>
      <c r="V14" s="3" t="s">
        <v>650</v>
      </c>
      <c r="AB14"/>
    </row>
    <row r="15" spans="2:28" x14ac:dyDescent="0.2">
      <c r="D15" s="3">
        <v>12</v>
      </c>
      <c r="J15" s="3">
        <v>63113</v>
      </c>
      <c r="K15" s="3" t="s">
        <v>623</v>
      </c>
      <c r="O15" s="2" t="s">
        <v>464</v>
      </c>
      <c r="Q15" s="3" t="s">
        <v>554</v>
      </c>
      <c r="R15" s="3">
        <v>8.3333333333333329E-2</v>
      </c>
      <c r="T15" s="2" t="s">
        <v>566</v>
      </c>
      <c r="U15" s="3">
        <v>15</v>
      </c>
      <c r="V15" s="3" t="s">
        <v>650</v>
      </c>
      <c r="AB15"/>
    </row>
    <row r="16" spans="2:28" x14ac:dyDescent="0.2">
      <c r="D16" s="3">
        <v>13</v>
      </c>
      <c r="J16" s="3">
        <v>63115</v>
      </c>
      <c r="K16" s="3" t="s">
        <v>623</v>
      </c>
      <c r="O16" s="2" t="s">
        <v>465</v>
      </c>
      <c r="T16" s="2" t="s">
        <v>567</v>
      </c>
      <c r="U16" s="3">
        <v>7</v>
      </c>
      <c r="V16" s="3" t="s">
        <v>649</v>
      </c>
      <c r="AB16"/>
    </row>
    <row r="17" spans="4:28" x14ac:dyDescent="0.2">
      <c r="D17" s="3">
        <v>14</v>
      </c>
      <c r="J17" s="3">
        <v>63116</v>
      </c>
      <c r="K17" s="3" t="s">
        <v>623</v>
      </c>
      <c r="O17" s="2" t="s">
        <v>466</v>
      </c>
      <c r="T17" s="2" t="s">
        <v>568</v>
      </c>
      <c r="U17" s="3">
        <v>5</v>
      </c>
      <c r="V17" s="3" t="s">
        <v>649</v>
      </c>
      <c r="AB17"/>
    </row>
    <row r="18" spans="4:28" x14ac:dyDescent="0.2">
      <c r="D18" s="3">
        <v>15</v>
      </c>
      <c r="J18" s="3">
        <v>63118</v>
      </c>
      <c r="K18" s="3" t="s">
        <v>623</v>
      </c>
      <c r="O18" s="2" t="s">
        <v>467</v>
      </c>
      <c r="T18" s="2" t="s">
        <v>569</v>
      </c>
      <c r="U18" s="3">
        <v>7</v>
      </c>
      <c r="V18" s="3" t="s">
        <v>649</v>
      </c>
      <c r="AB18"/>
    </row>
    <row r="19" spans="4:28" x14ac:dyDescent="0.2">
      <c r="D19" s="3">
        <v>16</v>
      </c>
      <c r="J19" s="3">
        <v>63120</v>
      </c>
      <c r="K19" s="3" t="s">
        <v>623</v>
      </c>
      <c r="O19" s="2" t="s">
        <v>468</v>
      </c>
      <c r="T19" s="2" t="s">
        <v>570</v>
      </c>
      <c r="U19" s="3">
        <v>5</v>
      </c>
      <c r="V19" s="3" t="s">
        <v>649</v>
      </c>
      <c r="AB19"/>
    </row>
    <row r="20" spans="4:28" x14ac:dyDescent="0.2">
      <c r="D20" s="3">
        <v>17</v>
      </c>
      <c r="J20" s="3">
        <v>63139</v>
      </c>
      <c r="K20" s="3" t="s">
        <v>623</v>
      </c>
      <c r="O20" s="2" t="s">
        <v>469</v>
      </c>
      <c r="T20" s="2" t="s">
        <v>571</v>
      </c>
      <c r="U20" s="3">
        <v>15</v>
      </c>
      <c r="V20" s="3" t="s">
        <v>649</v>
      </c>
      <c r="AB20"/>
    </row>
    <row r="21" spans="4:28" x14ac:dyDescent="0.2">
      <c r="D21" s="3">
        <v>18</v>
      </c>
      <c r="J21" s="3">
        <v>63147</v>
      </c>
      <c r="K21" s="3" t="s">
        <v>623</v>
      </c>
      <c r="O21" s="2" t="s">
        <v>470</v>
      </c>
      <c r="T21" s="2" t="s">
        <v>572</v>
      </c>
      <c r="U21" s="3">
        <v>5</v>
      </c>
      <c r="V21" s="3" t="s">
        <v>649</v>
      </c>
      <c r="AB21"/>
    </row>
    <row r="22" spans="4:28" x14ac:dyDescent="0.2">
      <c r="D22" s="3">
        <v>19</v>
      </c>
      <c r="J22" s="3" t="s">
        <v>436</v>
      </c>
      <c r="K22" s="3" t="s">
        <v>623</v>
      </c>
      <c r="O22" s="2" t="s">
        <v>471</v>
      </c>
      <c r="T22" s="2" t="s">
        <v>573</v>
      </c>
      <c r="U22" s="3">
        <v>7</v>
      </c>
      <c r="V22" s="3" t="s">
        <v>649</v>
      </c>
      <c r="AB22"/>
    </row>
    <row r="23" spans="4:28" x14ac:dyDescent="0.2">
      <c r="D23" s="3">
        <v>20</v>
      </c>
      <c r="O23" s="2" t="s">
        <v>472</v>
      </c>
      <c r="T23" s="2" t="s">
        <v>574</v>
      </c>
      <c r="U23" s="3">
        <v>7</v>
      </c>
      <c r="V23" s="3" t="s">
        <v>649</v>
      </c>
      <c r="AB23"/>
    </row>
    <row r="24" spans="4:28" x14ac:dyDescent="0.2">
      <c r="D24" s="3">
        <v>21</v>
      </c>
      <c r="O24" s="2" t="s">
        <v>473</v>
      </c>
      <c r="T24" s="2" t="s">
        <v>575</v>
      </c>
      <c r="U24" s="3">
        <v>7</v>
      </c>
      <c r="V24" s="3" t="s">
        <v>649</v>
      </c>
      <c r="AB24"/>
    </row>
    <row r="25" spans="4:28" x14ac:dyDescent="0.2">
      <c r="D25" s="3">
        <v>22</v>
      </c>
      <c r="O25" s="2" t="s">
        <v>474</v>
      </c>
      <c r="T25" s="2" t="s">
        <v>576</v>
      </c>
      <c r="U25" s="3">
        <v>3</v>
      </c>
      <c r="V25" s="3" t="s">
        <v>649</v>
      </c>
      <c r="AB25"/>
    </row>
    <row r="26" spans="4:28" x14ac:dyDescent="0.2">
      <c r="D26" s="3">
        <v>23</v>
      </c>
      <c r="O26" s="2" t="s">
        <v>475</v>
      </c>
      <c r="T26" s="2" t="s">
        <v>577</v>
      </c>
      <c r="U26" s="3">
        <v>7</v>
      </c>
      <c r="V26" s="3" t="s">
        <v>649</v>
      </c>
      <c r="AB26"/>
    </row>
    <row r="27" spans="4:28" x14ac:dyDescent="0.2">
      <c r="D27" s="3">
        <v>24</v>
      </c>
      <c r="O27" s="2" t="s">
        <v>476</v>
      </c>
      <c r="T27" s="2" t="s">
        <v>578</v>
      </c>
      <c r="U27" s="3">
        <v>7</v>
      </c>
      <c r="V27" s="3" t="s">
        <v>649</v>
      </c>
      <c r="AB27"/>
    </row>
    <row r="28" spans="4:28" x14ac:dyDescent="0.2">
      <c r="D28" s="3">
        <v>25</v>
      </c>
      <c r="O28" s="2" t="s">
        <v>477</v>
      </c>
      <c r="T28" s="2" t="s">
        <v>579</v>
      </c>
      <c r="U28" s="3">
        <v>10</v>
      </c>
      <c r="V28" s="3" t="s">
        <v>649</v>
      </c>
      <c r="AB28"/>
    </row>
    <row r="29" spans="4:28" x14ac:dyDescent="0.2">
      <c r="O29" s="2" t="s">
        <v>478</v>
      </c>
      <c r="T29" s="2" t="s">
        <v>580</v>
      </c>
      <c r="U29" s="3">
        <v>5</v>
      </c>
      <c r="V29" s="3" t="s">
        <v>649</v>
      </c>
      <c r="AB29"/>
    </row>
    <row r="30" spans="4:28" x14ac:dyDescent="0.2">
      <c r="O30" s="2" t="s">
        <v>479</v>
      </c>
      <c r="T30" s="2" t="s">
        <v>581</v>
      </c>
      <c r="U30" s="3">
        <v>7</v>
      </c>
      <c r="V30" s="3" t="s">
        <v>649</v>
      </c>
      <c r="AB30"/>
    </row>
    <row r="31" spans="4:28" x14ac:dyDescent="0.2">
      <c r="O31" s="2" t="s">
        <v>480</v>
      </c>
      <c r="T31" s="2" t="s">
        <v>582</v>
      </c>
      <c r="U31" s="3">
        <v>7</v>
      </c>
      <c r="V31" s="3" t="s">
        <v>649</v>
      </c>
      <c r="AB31"/>
    </row>
    <row r="32" spans="4:28" x14ac:dyDescent="0.2">
      <c r="O32" s="2" t="s">
        <v>481</v>
      </c>
      <c r="T32" s="2" t="s">
        <v>583</v>
      </c>
      <c r="U32" s="3">
        <v>7</v>
      </c>
      <c r="V32" s="3" t="s">
        <v>649</v>
      </c>
      <c r="AB32"/>
    </row>
    <row r="33" spans="15:28" x14ac:dyDescent="0.2">
      <c r="O33" s="2" t="s">
        <v>482</v>
      </c>
      <c r="T33" s="2" t="s">
        <v>584</v>
      </c>
      <c r="U33" s="3">
        <v>5</v>
      </c>
      <c r="V33" s="3" t="s">
        <v>649</v>
      </c>
      <c r="AB33"/>
    </row>
    <row r="34" spans="15:28" x14ac:dyDescent="0.2">
      <c r="O34" s="2" t="s">
        <v>483</v>
      </c>
      <c r="T34" s="2" t="s">
        <v>585</v>
      </c>
      <c r="U34" s="3">
        <v>7</v>
      </c>
      <c r="V34" s="3" t="s">
        <v>649</v>
      </c>
      <c r="AB34"/>
    </row>
    <row r="35" spans="15:28" x14ac:dyDescent="0.2">
      <c r="O35" s="2" t="s">
        <v>484</v>
      </c>
      <c r="T35" s="2" t="s">
        <v>586</v>
      </c>
      <c r="U35" s="3">
        <v>7</v>
      </c>
      <c r="V35" s="3" t="s">
        <v>649</v>
      </c>
      <c r="AB35"/>
    </row>
    <row r="36" spans="15:28" x14ac:dyDescent="0.2">
      <c r="O36" s="2" t="s">
        <v>485</v>
      </c>
      <c r="T36" s="2" t="s">
        <v>587</v>
      </c>
      <c r="U36" s="3">
        <v>7</v>
      </c>
      <c r="V36" s="3" t="s">
        <v>649</v>
      </c>
      <c r="AB36"/>
    </row>
    <row r="37" spans="15:28" x14ac:dyDescent="0.2">
      <c r="O37" s="2" t="s">
        <v>486</v>
      </c>
      <c r="T37" s="2" t="s">
        <v>588</v>
      </c>
      <c r="U37" s="3">
        <v>7</v>
      </c>
      <c r="V37" s="3" t="s">
        <v>649</v>
      </c>
      <c r="AB37"/>
    </row>
    <row r="38" spans="15:28" x14ac:dyDescent="0.2">
      <c r="O38" s="2" t="s">
        <v>487</v>
      </c>
      <c r="T38" s="2" t="s">
        <v>589</v>
      </c>
      <c r="U38" s="3">
        <v>7</v>
      </c>
      <c r="V38" s="3" t="s">
        <v>649</v>
      </c>
      <c r="AB38"/>
    </row>
    <row r="39" spans="15:28" x14ac:dyDescent="0.2">
      <c r="O39" s="2" t="s">
        <v>488</v>
      </c>
      <c r="T39" s="2" t="s">
        <v>590</v>
      </c>
      <c r="U39" s="3">
        <v>7</v>
      </c>
      <c r="V39" s="3" t="s">
        <v>649</v>
      </c>
      <c r="AB39"/>
    </row>
    <row r="40" spans="15:28" x14ac:dyDescent="0.2">
      <c r="O40" s="2" t="s">
        <v>489</v>
      </c>
      <c r="T40" s="2" t="s">
        <v>591</v>
      </c>
      <c r="U40" s="3">
        <v>7</v>
      </c>
      <c r="V40" s="3" t="s">
        <v>649</v>
      </c>
      <c r="AB40"/>
    </row>
    <row r="41" spans="15:28" x14ac:dyDescent="0.2">
      <c r="O41" s="2" t="s">
        <v>490</v>
      </c>
      <c r="T41" s="2" t="s">
        <v>592</v>
      </c>
      <c r="U41" s="3">
        <v>10</v>
      </c>
      <c r="V41" s="3" t="s">
        <v>649</v>
      </c>
      <c r="AB41"/>
    </row>
    <row r="42" spans="15:28" x14ac:dyDescent="0.2">
      <c r="O42" s="2" t="s">
        <v>491</v>
      </c>
      <c r="T42" s="2" t="s">
        <v>593</v>
      </c>
      <c r="U42" s="3">
        <v>7</v>
      </c>
      <c r="V42" s="3" t="s">
        <v>649</v>
      </c>
      <c r="AB42"/>
    </row>
    <row r="43" spans="15:28" x14ac:dyDescent="0.2">
      <c r="O43" s="2" t="s">
        <v>492</v>
      </c>
      <c r="T43" s="2" t="s">
        <v>594</v>
      </c>
      <c r="U43" s="3">
        <v>10</v>
      </c>
      <c r="V43" s="3" t="s">
        <v>649</v>
      </c>
      <c r="AB43"/>
    </row>
    <row r="44" spans="15:28" x14ac:dyDescent="0.2">
      <c r="O44" s="2" t="s">
        <v>493</v>
      </c>
      <c r="T44" s="2" t="s">
        <v>595</v>
      </c>
      <c r="U44" s="3">
        <v>7</v>
      </c>
      <c r="V44" s="3" t="s">
        <v>649</v>
      </c>
      <c r="AB44"/>
    </row>
    <row r="45" spans="15:28" x14ac:dyDescent="0.2">
      <c r="O45" s="2" t="s">
        <v>494</v>
      </c>
      <c r="T45" s="2" t="s">
        <v>596</v>
      </c>
      <c r="U45" s="3">
        <v>7</v>
      </c>
      <c r="V45" s="3" t="s">
        <v>649</v>
      </c>
      <c r="AB45"/>
    </row>
    <row r="46" spans="15:28" x14ac:dyDescent="0.2">
      <c r="O46" s="2" t="s">
        <v>495</v>
      </c>
      <c r="T46" s="2" t="s">
        <v>597</v>
      </c>
      <c r="U46" s="3">
        <v>7</v>
      </c>
      <c r="V46" s="3" t="s">
        <v>650</v>
      </c>
      <c r="AB46"/>
    </row>
    <row r="47" spans="15:28" x14ac:dyDescent="0.2">
      <c r="O47" s="2" t="s">
        <v>496</v>
      </c>
      <c r="T47" s="2" t="s">
        <v>598</v>
      </c>
      <c r="U47" s="3">
        <v>15</v>
      </c>
      <c r="V47" s="3" t="s">
        <v>650</v>
      </c>
      <c r="AB47"/>
    </row>
    <row r="48" spans="15:28" x14ac:dyDescent="0.2">
      <c r="O48" s="2" t="s">
        <v>497</v>
      </c>
      <c r="T48" s="2" t="s">
        <v>599</v>
      </c>
      <c r="U48" s="3">
        <v>7</v>
      </c>
      <c r="V48" s="3" t="s">
        <v>650</v>
      </c>
      <c r="AB48"/>
    </row>
    <row r="49" spans="15:28" x14ac:dyDescent="0.2">
      <c r="O49" s="2" t="s">
        <v>498</v>
      </c>
      <c r="T49" s="2" t="s">
        <v>600</v>
      </c>
      <c r="U49" s="3">
        <v>7</v>
      </c>
      <c r="V49" s="3" t="s">
        <v>650</v>
      </c>
      <c r="AB49"/>
    </row>
    <row r="50" spans="15:28" x14ac:dyDescent="0.2">
      <c r="O50" s="2" t="s">
        <v>499</v>
      </c>
      <c r="T50" s="2" t="s">
        <v>601</v>
      </c>
      <c r="U50" s="3">
        <v>7</v>
      </c>
      <c r="V50" s="3" t="s">
        <v>650</v>
      </c>
      <c r="AB50"/>
    </row>
    <row r="51" spans="15:28" x14ac:dyDescent="0.2">
      <c r="O51" s="2" t="s">
        <v>500</v>
      </c>
      <c r="T51" s="2" t="s">
        <v>602</v>
      </c>
      <c r="U51" s="3">
        <v>20</v>
      </c>
      <c r="V51" s="3" t="s">
        <v>650</v>
      </c>
      <c r="AB51"/>
    </row>
    <row r="52" spans="15:28" x14ac:dyDescent="0.2">
      <c r="O52" s="2" t="s">
        <v>501</v>
      </c>
      <c r="T52" s="2" t="s">
        <v>603</v>
      </c>
      <c r="U52" s="3">
        <v>7</v>
      </c>
      <c r="V52" s="3" t="s">
        <v>650</v>
      </c>
      <c r="AB52"/>
    </row>
    <row r="53" spans="15:28" x14ac:dyDescent="0.2">
      <c r="O53" s="2" t="s">
        <v>502</v>
      </c>
      <c r="T53" s="2" t="s">
        <v>604</v>
      </c>
      <c r="U53" s="3">
        <v>15</v>
      </c>
      <c r="V53" s="3" t="s">
        <v>650</v>
      </c>
      <c r="AB53"/>
    </row>
    <row r="54" spans="15:28" x14ac:dyDescent="0.2">
      <c r="O54" s="2" t="s">
        <v>503</v>
      </c>
      <c r="T54" s="2" t="s">
        <v>605</v>
      </c>
      <c r="U54" s="3">
        <v>5</v>
      </c>
      <c r="V54" s="3" t="s">
        <v>650</v>
      </c>
      <c r="AB54"/>
    </row>
    <row r="55" spans="15:28" x14ac:dyDescent="0.2">
      <c r="O55" s="2" t="s">
        <v>504</v>
      </c>
      <c r="T55" s="2" t="s">
        <v>606</v>
      </c>
      <c r="U55" s="3">
        <v>5</v>
      </c>
      <c r="V55" s="3" t="s">
        <v>650</v>
      </c>
      <c r="AB55"/>
    </row>
    <row r="56" spans="15:28" x14ac:dyDescent="0.2">
      <c r="O56" s="2" t="s">
        <v>505</v>
      </c>
      <c r="T56" s="2" t="s">
        <v>607</v>
      </c>
      <c r="U56" s="3">
        <v>7</v>
      </c>
      <c r="V56" s="3" t="s">
        <v>650</v>
      </c>
      <c r="AB56"/>
    </row>
    <row r="57" spans="15:28" x14ac:dyDescent="0.2">
      <c r="O57" s="2" t="s">
        <v>506</v>
      </c>
      <c r="T57" s="2" t="s">
        <v>608</v>
      </c>
      <c r="U57" s="3">
        <v>5</v>
      </c>
      <c r="V57" s="3" t="s">
        <v>650</v>
      </c>
      <c r="AB57"/>
    </row>
    <row r="58" spans="15:28" x14ac:dyDescent="0.2">
      <c r="O58" s="2" t="s">
        <v>507</v>
      </c>
      <c r="T58" s="2" t="s">
        <v>609</v>
      </c>
      <c r="U58" s="3">
        <v>10</v>
      </c>
      <c r="V58" s="3" t="s">
        <v>650</v>
      </c>
      <c r="AB58"/>
    </row>
    <row r="59" spans="15:28" x14ac:dyDescent="0.2">
      <c r="O59" s="2" t="s">
        <v>508</v>
      </c>
      <c r="T59" s="2" t="s">
        <v>610</v>
      </c>
      <c r="U59" s="3">
        <v>3</v>
      </c>
      <c r="V59" s="3" t="s">
        <v>650</v>
      </c>
      <c r="AB59"/>
    </row>
    <row r="60" spans="15:28" x14ac:dyDescent="0.2">
      <c r="O60" s="2" t="s">
        <v>509</v>
      </c>
      <c r="T60" s="2" t="s">
        <v>611</v>
      </c>
      <c r="U60" s="3">
        <v>3</v>
      </c>
      <c r="V60" s="3" t="s">
        <v>650</v>
      </c>
      <c r="AB60"/>
    </row>
    <row r="61" spans="15:28" x14ac:dyDescent="0.2">
      <c r="O61" s="2" t="s">
        <v>510</v>
      </c>
      <c r="T61" s="2" t="s">
        <v>612</v>
      </c>
      <c r="U61" s="3">
        <v>5</v>
      </c>
      <c r="V61" s="3" t="s">
        <v>650</v>
      </c>
      <c r="AB61"/>
    </row>
    <row r="62" spans="15:28" x14ac:dyDescent="0.2">
      <c r="O62" s="2" t="s">
        <v>511</v>
      </c>
      <c r="T62" s="2" t="s">
        <v>613</v>
      </c>
      <c r="U62" s="3">
        <v>10</v>
      </c>
      <c r="V62" s="3" t="s">
        <v>650</v>
      </c>
      <c r="AB62"/>
    </row>
    <row r="63" spans="15:28" x14ac:dyDescent="0.2">
      <c r="O63" s="2" t="s">
        <v>512</v>
      </c>
      <c r="T63" s="2" t="s">
        <v>614</v>
      </c>
      <c r="U63" s="3">
        <v>3</v>
      </c>
      <c r="V63" s="3" t="s">
        <v>650</v>
      </c>
      <c r="AB63"/>
    </row>
    <row r="64" spans="15:28" x14ac:dyDescent="0.2">
      <c r="O64" s="2" t="s">
        <v>513</v>
      </c>
      <c r="T64" s="2" t="s">
        <v>615</v>
      </c>
      <c r="U64" s="3">
        <v>5</v>
      </c>
      <c r="V64" s="3" t="s">
        <v>650</v>
      </c>
      <c r="AB64"/>
    </row>
    <row r="65" spans="15:28" x14ac:dyDescent="0.2">
      <c r="O65" s="2" t="s">
        <v>514</v>
      </c>
      <c r="T65" s="2" t="s">
        <v>616</v>
      </c>
      <c r="U65" s="3">
        <v>7</v>
      </c>
      <c r="V65" s="3" t="s">
        <v>650</v>
      </c>
      <c r="AB65"/>
    </row>
    <row r="66" spans="15:28" x14ac:dyDescent="0.2">
      <c r="O66" s="2" t="s">
        <v>515</v>
      </c>
      <c r="T66" s="2" t="s">
        <v>617</v>
      </c>
      <c r="U66" s="3">
        <v>10</v>
      </c>
      <c r="V66" s="3" t="s">
        <v>650</v>
      </c>
      <c r="AB66"/>
    </row>
    <row r="67" spans="15:28" x14ac:dyDescent="0.2">
      <c r="O67" s="2" t="s">
        <v>516</v>
      </c>
      <c r="T67" s="2" t="s">
        <v>618</v>
      </c>
      <c r="U67" s="3">
        <v>15</v>
      </c>
      <c r="V67" s="3" t="s">
        <v>650</v>
      </c>
      <c r="AB67"/>
    </row>
    <row r="68" spans="15:28" x14ac:dyDescent="0.2">
      <c r="O68" s="2" t="s">
        <v>517</v>
      </c>
    </row>
    <row r="69" spans="15:28" x14ac:dyDescent="0.2">
      <c r="O69" s="2" t="s">
        <v>518</v>
      </c>
    </row>
    <row r="70" spans="15:28" x14ac:dyDescent="0.2">
      <c r="O70" s="2" t="s">
        <v>519</v>
      </c>
    </row>
    <row r="71" spans="15:28" x14ac:dyDescent="0.2">
      <c r="O71" s="2" t="s">
        <v>520</v>
      </c>
    </row>
    <row r="72" spans="15:28" x14ac:dyDescent="0.2">
      <c r="O72" s="2" t="s">
        <v>521</v>
      </c>
    </row>
    <row r="73" spans="15:28" x14ac:dyDescent="0.2">
      <c r="O73" s="2" t="s">
        <v>522</v>
      </c>
    </row>
    <row r="74" spans="15:28" x14ac:dyDescent="0.2">
      <c r="O74" s="2" t="s">
        <v>523</v>
      </c>
    </row>
    <row r="75" spans="15:28" x14ac:dyDescent="0.2">
      <c r="O75" s="2" t="s">
        <v>524</v>
      </c>
    </row>
    <row r="76" spans="15:28" x14ac:dyDescent="0.2">
      <c r="O76" s="2" t="s">
        <v>525</v>
      </c>
    </row>
    <row r="77" spans="15:28" x14ac:dyDescent="0.2">
      <c r="O77" s="2" t="s">
        <v>526</v>
      </c>
    </row>
    <row r="78" spans="15:28" x14ac:dyDescent="0.2">
      <c r="O78" s="2" t="s">
        <v>527</v>
      </c>
    </row>
    <row r="79" spans="15:28" x14ac:dyDescent="0.2">
      <c r="O79" s="2" t="s">
        <v>528</v>
      </c>
    </row>
    <row r="80" spans="15:28" x14ac:dyDescent="0.2">
      <c r="O80" s="2" t="s">
        <v>529</v>
      </c>
    </row>
    <row r="81" spans="15:15" x14ac:dyDescent="0.2">
      <c r="O81" s="2" t="s">
        <v>530</v>
      </c>
    </row>
    <row r="82" spans="15:15" x14ac:dyDescent="0.2">
      <c r="O82" s="2" t="s">
        <v>531</v>
      </c>
    </row>
    <row r="83" spans="15:15" x14ac:dyDescent="0.2">
      <c r="O83" s="2" t="s">
        <v>532</v>
      </c>
    </row>
    <row r="84" spans="15:15" x14ac:dyDescent="0.2">
      <c r="O84" s="2" t="s">
        <v>451</v>
      </c>
    </row>
  </sheetData>
  <sortState xmlns:xlrd2="http://schemas.microsoft.com/office/spreadsheetml/2017/richdata2" ref="AB4:AB67">
    <sortCondition ref="AB3:AB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F662-DF39-4C26-8CA8-AA25331A4CAE}">
  <sheetPr>
    <tabColor theme="7" tint="0.39997558519241921"/>
  </sheetPr>
  <dimension ref="A1:G34"/>
  <sheetViews>
    <sheetView topLeftCell="A10" workbookViewId="0">
      <selection activeCell="C27" sqref="C27"/>
    </sheetView>
  </sheetViews>
  <sheetFormatPr defaultColWidth="9.140625" defaultRowHeight="15" x14ac:dyDescent="0.2"/>
  <cols>
    <col min="1" max="1" width="2.7109375" style="31" customWidth="1"/>
    <col min="2" max="2" width="42.7109375" style="1" customWidth="1"/>
    <col min="3" max="4" width="18.7109375" style="1" customWidth="1"/>
    <col min="5" max="5" width="24.7109375" style="3" customWidth="1"/>
    <col min="6" max="16384" width="9.140625" style="1"/>
  </cols>
  <sheetData>
    <row r="1" spans="1:7" ht="18.75" x14ac:dyDescent="0.2">
      <c r="A1" s="6" t="s">
        <v>97</v>
      </c>
    </row>
    <row r="3" spans="1:7" x14ac:dyDescent="0.2">
      <c r="B3" s="1" t="s">
        <v>98</v>
      </c>
      <c r="E3" s="9"/>
    </row>
    <row r="4" spans="1:7" x14ac:dyDescent="0.25">
      <c r="B4" s="1" t="s">
        <v>99</v>
      </c>
      <c r="E4" s="55"/>
    </row>
    <row r="5" spans="1:7" x14ac:dyDescent="0.2">
      <c r="B5" s="1" t="s">
        <v>100</v>
      </c>
      <c r="E5" s="9"/>
    </row>
    <row r="6" spans="1:7" x14ac:dyDescent="0.2">
      <c r="B6" s="1" t="s">
        <v>101</v>
      </c>
      <c r="E6" s="9"/>
    </row>
    <row r="7" spans="1:7" x14ac:dyDescent="0.2">
      <c r="B7" s="1" t="s">
        <v>102</v>
      </c>
      <c r="E7" s="16"/>
    </row>
    <row r="8" spans="1:7" x14ac:dyDescent="0.2">
      <c r="B8" s="1" t="s">
        <v>103</v>
      </c>
      <c r="E8" s="16"/>
    </row>
    <row r="9" spans="1:7" x14ac:dyDescent="0.2">
      <c r="B9" s="1" t="s">
        <v>104</v>
      </c>
      <c r="E9" s="9" t="s">
        <v>106</v>
      </c>
    </row>
    <row r="11" spans="1:7" x14ac:dyDescent="0.2">
      <c r="B11" s="1" t="s">
        <v>113</v>
      </c>
      <c r="E11" s="122">
        <f>Proj_Address</f>
        <v>0</v>
      </c>
    </row>
    <row r="12" spans="1:7" x14ac:dyDescent="0.2">
      <c r="B12" s="1" t="s">
        <v>112</v>
      </c>
      <c r="E12" s="32">
        <f>Proj_Parcel_No</f>
        <v>0</v>
      </c>
    </row>
    <row r="13" spans="1:7" x14ac:dyDescent="0.2">
      <c r="B13" s="1" t="s">
        <v>114</v>
      </c>
      <c r="E13" s="9"/>
    </row>
    <row r="14" spans="1:7" x14ac:dyDescent="0.2">
      <c r="B14" s="1" t="s">
        <v>115</v>
      </c>
      <c r="E14" s="9"/>
      <c r="G14" s="99" t="str">
        <f>_xlfn.XLOOKUP(ProjZIP,ZIPList,DropDowns!K4:K22,"Suburb")</f>
        <v>Suburb</v>
      </c>
    </row>
    <row r="15" spans="1:7" x14ac:dyDescent="0.2">
      <c r="B15" s="1" t="s">
        <v>116</v>
      </c>
      <c r="E15" s="9"/>
    </row>
    <row r="16" spans="1:7" x14ac:dyDescent="0.2">
      <c r="B16" s="1" t="s">
        <v>117</v>
      </c>
      <c r="E16" s="9"/>
    </row>
    <row r="17" spans="1:5" x14ac:dyDescent="0.2">
      <c r="B17" s="1" t="s">
        <v>107</v>
      </c>
      <c r="E17" s="9"/>
    </row>
    <row r="18" spans="1:5" x14ac:dyDescent="0.2">
      <c r="B18" s="1" t="s">
        <v>108</v>
      </c>
      <c r="E18" s="9" t="s">
        <v>74</v>
      </c>
    </row>
    <row r="20" spans="1:5" ht="15.75" x14ac:dyDescent="0.2">
      <c r="A20" s="7" t="s">
        <v>121</v>
      </c>
      <c r="C20" s="33" t="s">
        <v>118</v>
      </c>
      <c r="D20" s="33" t="s">
        <v>119</v>
      </c>
      <c r="E20" s="33" t="s">
        <v>120</v>
      </c>
    </row>
    <row r="21" spans="1:5" x14ac:dyDescent="0.2">
      <c r="B21" s="1" t="s">
        <v>109</v>
      </c>
      <c r="C21" s="34"/>
      <c r="D21" s="34"/>
      <c r="E21" s="35"/>
    </row>
    <row r="22" spans="1:5" x14ac:dyDescent="0.2">
      <c r="B22" s="1" t="s">
        <v>110</v>
      </c>
      <c r="C22" s="34"/>
      <c r="D22" s="34"/>
      <c r="E22" s="35">
        <f>+C22+D22</f>
        <v>0</v>
      </c>
    </row>
    <row r="23" spans="1:5" x14ac:dyDescent="0.2">
      <c r="B23" s="1" t="s">
        <v>111</v>
      </c>
      <c r="C23" s="108"/>
      <c r="D23" s="108"/>
      <c r="E23" s="35"/>
    </row>
    <row r="24" spans="1:5" x14ac:dyDescent="0.2">
      <c r="E24" s="1"/>
    </row>
    <row r="25" spans="1:5" ht="15.75" x14ac:dyDescent="0.2">
      <c r="A25" s="7" t="s">
        <v>122</v>
      </c>
    </row>
    <row r="26" spans="1:5" x14ac:dyDescent="0.2">
      <c r="B26" s="1" t="s">
        <v>123</v>
      </c>
    </row>
    <row r="27" spans="1:5" x14ac:dyDescent="0.2">
      <c r="B27" s="22" t="s">
        <v>124</v>
      </c>
      <c r="C27" s="9" t="s">
        <v>74</v>
      </c>
    </row>
    <row r="28" spans="1:5" x14ac:dyDescent="0.2">
      <c r="B28" s="22" t="s">
        <v>125</v>
      </c>
      <c r="C28" s="9" t="s">
        <v>74</v>
      </c>
    </row>
    <row r="29" spans="1:5" x14ac:dyDescent="0.2">
      <c r="B29" s="22" t="s">
        <v>126</v>
      </c>
      <c r="C29" s="9" t="s">
        <v>74</v>
      </c>
    </row>
    <row r="30" spans="1:5" x14ac:dyDescent="0.2">
      <c r="B30" s="22" t="s">
        <v>127</v>
      </c>
      <c r="C30" s="9" t="s">
        <v>74</v>
      </c>
    </row>
    <row r="31" spans="1:5" x14ac:dyDescent="0.2">
      <c r="B31" s="22" t="s">
        <v>128</v>
      </c>
      <c r="C31" s="9" t="s">
        <v>74</v>
      </c>
    </row>
    <row r="32" spans="1:5" x14ac:dyDescent="0.2">
      <c r="B32" s="22" t="s">
        <v>129</v>
      </c>
      <c r="C32" s="9" t="s">
        <v>74</v>
      </c>
    </row>
    <row r="33" spans="2:5" x14ac:dyDescent="0.2">
      <c r="B33" s="22" t="s">
        <v>130</v>
      </c>
      <c r="C33" s="9" t="s">
        <v>74</v>
      </c>
    </row>
    <row r="34" spans="2:5" x14ac:dyDescent="0.2">
      <c r="B34" s="22" t="s">
        <v>131</v>
      </c>
      <c r="C34" s="9" t="s">
        <v>74</v>
      </c>
      <c r="D34" s="24" t="s">
        <v>132</v>
      </c>
      <c r="E34" s="9"/>
    </row>
  </sheetData>
  <conditionalFormatting sqref="E4">
    <cfRule type="expression" dxfId="38" priority="1">
      <formula>$C$4="No"</formula>
    </cfRule>
  </conditionalFormatting>
  <dataValidations count="6">
    <dataValidation type="list" allowBlank="1" showInputMessage="1" showErrorMessage="1" sqref="E9 E17:E18 C27:C34" xr:uid="{65A118C8-CDD2-45E9-8600-CBEBFD9E36EA}">
      <formula1>"Yes, No"</formula1>
    </dataValidation>
    <dataValidation type="list" allowBlank="1" showInputMessage="1" showErrorMessage="1" sqref="E14" xr:uid="{7F95C1A1-DBFF-4C0A-B013-AA3A64A99830}">
      <formula1>ZIPList</formula1>
    </dataValidation>
    <dataValidation type="list" allowBlank="1" showInputMessage="1" showErrorMessage="1" sqref="E13" xr:uid="{85B69D84-AE94-41F7-88A5-990DE3DF50DA}">
      <formula1>Neighborhoods</formula1>
    </dataValidation>
    <dataValidation type="list" allowBlank="1" showInputMessage="1" showErrorMessage="1" sqref="E15" xr:uid="{54C4656B-CFAB-4387-8260-D40591DD007C}">
      <formula1>SLUP</formula1>
    </dataValidation>
    <dataValidation type="list" allowBlank="1" showInputMessage="1" showErrorMessage="1" sqref="E16" xr:uid="{4E1D2D7D-BBCD-4CF6-9037-6BB4D2F18969}">
      <formula1>MVA</formula1>
    </dataValidation>
    <dataValidation type="list" allowBlank="1" showInputMessage="1" showErrorMessage="1" sqref="E4" xr:uid="{0D4424CD-7320-42C7-A725-93CE7F994E9E}">
      <formula1>Months</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F063-4CDD-4A56-A653-762F1CAA19C5}">
  <sheetPr>
    <tabColor theme="7" tint="0.79998168889431442"/>
  </sheetPr>
  <dimension ref="A1:I70"/>
  <sheetViews>
    <sheetView zoomScale="85" zoomScaleNormal="85" workbookViewId="0">
      <selection activeCell="C23" sqref="C23"/>
    </sheetView>
  </sheetViews>
  <sheetFormatPr defaultColWidth="9.140625" defaultRowHeight="15.75" x14ac:dyDescent="0.25"/>
  <cols>
    <col min="1" max="1" width="2.7109375" style="26" customWidth="1"/>
    <col min="2" max="2" width="46.28515625" style="25" customWidth="1"/>
    <col min="3" max="9" width="16.7109375" style="25" customWidth="1"/>
    <col min="10" max="16384" width="9.140625" style="25"/>
  </cols>
  <sheetData>
    <row r="1" spans="1:9" s="37" customFormat="1" ht="18.75" x14ac:dyDescent="0.3">
      <c r="A1" s="27" t="s">
        <v>133</v>
      </c>
    </row>
    <row r="3" spans="1:9" x14ac:dyDescent="0.25">
      <c r="A3" s="47" t="s">
        <v>134</v>
      </c>
      <c r="B3" s="48"/>
      <c r="C3" s="48"/>
      <c r="D3" s="48"/>
      <c r="E3" s="48"/>
      <c r="F3" s="48"/>
      <c r="G3" s="48"/>
      <c r="H3" s="48"/>
      <c r="I3" s="48"/>
    </row>
    <row r="4" spans="1:9" x14ac:dyDescent="0.25">
      <c r="B4" s="1" t="s">
        <v>98</v>
      </c>
      <c r="C4" s="9"/>
      <c r="D4" s="1"/>
    </row>
    <row r="5" spans="1:9" x14ac:dyDescent="0.25">
      <c r="B5" s="1" t="s">
        <v>99</v>
      </c>
      <c r="C5" s="123"/>
      <c r="D5" s="1"/>
      <c r="E5" s="98">
        <f>_xlfn.XLOOKUP(C5,Months,DropDowns!$R$4:$R$15,1)</f>
        <v>1</v>
      </c>
    </row>
    <row r="6" spans="1:9" x14ac:dyDescent="0.25">
      <c r="B6" s="1" t="s">
        <v>100</v>
      </c>
      <c r="C6" s="9"/>
      <c r="D6" s="1"/>
    </row>
    <row r="8" spans="1:9" s="36" customFormat="1" x14ac:dyDescent="0.25">
      <c r="A8" s="26" t="s">
        <v>135</v>
      </c>
      <c r="C8" s="49" t="s">
        <v>144</v>
      </c>
      <c r="D8" s="49" t="s">
        <v>145</v>
      </c>
      <c r="E8" s="49" t="s">
        <v>146</v>
      </c>
      <c r="F8" s="49" t="s">
        <v>147</v>
      </c>
      <c r="G8" s="49" t="s">
        <v>148</v>
      </c>
    </row>
    <row r="9" spans="1:9" x14ac:dyDescent="0.25">
      <c r="B9" s="38" t="s">
        <v>136</v>
      </c>
      <c r="C9" s="39"/>
      <c r="D9" s="39"/>
      <c r="E9" s="39"/>
      <c r="F9" s="39"/>
      <c r="G9" s="42">
        <f>SUM(C9:F9)</f>
        <v>0</v>
      </c>
    </row>
    <row r="10" spans="1:9" x14ac:dyDescent="0.25">
      <c r="B10" s="38" t="s">
        <v>137</v>
      </c>
      <c r="C10" s="39"/>
      <c r="D10" s="39"/>
      <c r="E10" s="39"/>
      <c r="F10" s="39"/>
      <c r="G10" s="42">
        <f>IFERROR(SUMPRODUCT(C$9:F$9,C10:F10)/G$9,0)</f>
        <v>0</v>
      </c>
    </row>
    <row r="11" spans="1:9" x14ac:dyDescent="0.25">
      <c r="B11" s="38" t="s">
        <v>165</v>
      </c>
      <c r="C11" s="30"/>
      <c r="D11" s="30"/>
      <c r="E11" s="30"/>
      <c r="F11" s="30"/>
      <c r="G11" s="42">
        <f>IFERROR(SUMPRODUCT(C$9:F$9,C11:F11)/G$9,0)</f>
        <v>0</v>
      </c>
    </row>
    <row r="12" spans="1:9" x14ac:dyDescent="0.25">
      <c r="B12" s="38" t="s">
        <v>138</v>
      </c>
      <c r="C12" s="29" t="str">
        <f>IFERROR(C11/C10,"")</f>
        <v/>
      </c>
      <c r="D12" s="29" t="str">
        <f t="shared" ref="D12:G12" si="0">IFERROR(D11/D10,"")</f>
        <v/>
      </c>
      <c r="E12" s="29" t="str">
        <f t="shared" si="0"/>
        <v/>
      </c>
      <c r="F12" s="29" t="str">
        <f t="shared" si="0"/>
        <v/>
      </c>
      <c r="G12" s="29" t="str">
        <f t="shared" si="0"/>
        <v/>
      </c>
    </row>
    <row r="13" spans="1:9" x14ac:dyDescent="0.25">
      <c r="B13" s="38" t="s">
        <v>139</v>
      </c>
      <c r="C13" s="40">
        <f t="shared" ref="C13:F13" si="1">C11*C9*12</f>
        <v>0</v>
      </c>
      <c r="D13" s="40">
        <f t="shared" si="1"/>
        <v>0</v>
      </c>
      <c r="E13" s="40">
        <f t="shared" si="1"/>
        <v>0</v>
      </c>
      <c r="F13" s="40">
        <f t="shared" si="1"/>
        <v>0</v>
      </c>
      <c r="G13" s="40">
        <f t="shared" ref="G13:G15" si="2">SUM(C13:F13)</f>
        <v>0</v>
      </c>
    </row>
    <row r="14" spans="1:9" x14ac:dyDescent="0.25">
      <c r="B14" s="38" t="s">
        <v>140</v>
      </c>
      <c r="C14" s="43"/>
      <c r="D14" s="43"/>
      <c r="E14" s="43"/>
      <c r="F14" s="43"/>
      <c r="G14" s="51">
        <f>IFERROR(1-(G15/G13),0)</f>
        <v>0</v>
      </c>
    </row>
    <row r="15" spans="1:9" x14ac:dyDescent="0.25">
      <c r="B15" s="38" t="s">
        <v>141</v>
      </c>
      <c r="C15" s="40">
        <f>C13*(1-C14)</f>
        <v>0</v>
      </c>
      <c r="D15" s="40">
        <f t="shared" ref="D15:F15" si="3">D13*(1-D14)</f>
        <v>0</v>
      </c>
      <c r="E15" s="40">
        <f t="shared" si="3"/>
        <v>0</v>
      </c>
      <c r="F15" s="40">
        <f t="shared" si="3"/>
        <v>0</v>
      </c>
      <c r="G15" s="40">
        <f t="shared" si="2"/>
        <v>0</v>
      </c>
    </row>
    <row r="16" spans="1:9" x14ac:dyDescent="0.25">
      <c r="B16" s="38" t="s">
        <v>142</v>
      </c>
      <c r="G16" s="41">
        <v>0</v>
      </c>
    </row>
    <row r="17" spans="1:9" s="36" customFormat="1" x14ac:dyDescent="0.25">
      <c r="A17" s="26"/>
      <c r="B17" s="26" t="s">
        <v>143</v>
      </c>
      <c r="C17" s="44"/>
      <c r="D17" s="44"/>
      <c r="E17" s="44"/>
      <c r="F17" s="44"/>
      <c r="G17" s="45">
        <f>+G15+G16</f>
        <v>0</v>
      </c>
    </row>
    <row r="19" spans="1:9" x14ac:dyDescent="0.25">
      <c r="B19" s="25" t="s">
        <v>149</v>
      </c>
      <c r="D19" s="9" t="s">
        <v>106</v>
      </c>
    </row>
    <row r="20" spans="1:9" x14ac:dyDescent="0.25">
      <c r="B20" s="25" t="s">
        <v>150</v>
      </c>
    </row>
    <row r="21" spans="1:9" x14ac:dyDescent="0.25">
      <c r="B21" s="46" t="s">
        <v>151</v>
      </c>
      <c r="D21" s="39"/>
    </row>
    <row r="22" spans="1:9" x14ac:dyDescent="0.25">
      <c r="B22" s="46" t="s">
        <v>152</v>
      </c>
      <c r="D22" s="30"/>
    </row>
    <row r="23" spans="1:9" x14ac:dyDescent="0.25">
      <c r="B23" s="25" t="s">
        <v>153</v>
      </c>
      <c r="D23" s="9" t="s">
        <v>106</v>
      </c>
    </row>
    <row r="25" spans="1:9" x14ac:dyDescent="0.25">
      <c r="A25" s="26" t="s">
        <v>154</v>
      </c>
      <c r="C25" s="28">
        <f>D25-1</f>
        <v>-1</v>
      </c>
      <c r="D25" s="28">
        <f>StartYear</f>
        <v>0</v>
      </c>
      <c r="E25" s="28">
        <f>+D25+1</f>
        <v>1</v>
      </c>
      <c r="F25" s="28">
        <f>+E25+1</f>
        <v>2</v>
      </c>
      <c r="G25" s="28">
        <f>+F25+1</f>
        <v>3</v>
      </c>
      <c r="H25" s="28">
        <f>+G25+1</f>
        <v>4</v>
      </c>
      <c r="I25" s="28" t="str">
        <f>(H25+1)&amp;" and after"</f>
        <v>5 and after</v>
      </c>
    </row>
    <row r="26" spans="1:9" x14ac:dyDescent="0.25">
      <c r="B26" s="25" t="s">
        <v>159</v>
      </c>
      <c r="C26" s="54"/>
      <c r="D26" s="55"/>
      <c r="E26" s="55"/>
      <c r="F26" s="55"/>
      <c r="G26" s="55"/>
      <c r="H26" s="55"/>
      <c r="I26" s="43"/>
    </row>
    <row r="27" spans="1:9" x14ac:dyDescent="0.25">
      <c r="B27" s="25" t="s">
        <v>160</v>
      </c>
      <c r="C27" s="54"/>
      <c r="D27" s="55"/>
      <c r="E27" s="55"/>
      <c r="F27" s="55"/>
      <c r="G27" s="55"/>
      <c r="H27" s="55"/>
      <c r="I27" s="72"/>
    </row>
    <row r="28" spans="1:9" x14ac:dyDescent="0.25">
      <c r="B28" s="25" t="s">
        <v>161</v>
      </c>
      <c r="C28" s="54"/>
      <c r="D28" s="55"/>
      <c r="E28" s="55"/>
      <c r="F28" s="55"/>
      <c r="G28" s="55"/>
      <c r="H28" s="55"/>
      <c r="I28" s="72"/>
    </row>
    <row r="29" spans="1:9" x14ac:dyDescent="0.25">
      <c r="B29" s="25" t="s">
        <v>162</v>
      </c>
      <c r="C29" s="54"/>
      <c r="D29" s="55"/>
      <c r="E29" s="55"/>
      <c r="F29" s="55"/>
      <c r="G29" s="55"/>
      <c r="H29" s="55"/>
      <c r="I29" s="72"/>
    </row>
    <row r="31" spans="1:9" x14ac:dyDescent="0.25">
      <c r="A31" s="26" t="s">
        <v>155</v>
      </c>
      <c r="C31" s="28">
        <f>D31-1</f>
        <v>-1</v>
      </c>
      <c r="D31" s="28">
        <f>StartYear</f>
        <v>0</v>
      </c>
      <c r="E31" s="28">
        <f>+D31+1</f>
        <v>1</v>
      </c>
      <c r="F31" s="28">
        <f>+E31+1</f>
        <v>2</v>
      </c>
      <c r="G31" s="28">
        <f>+F31+1</f>
        <v>3</v>
      </c>
      <c r="H31" s="28">
        <f>+G31+1</f>
        <v>4</v>
      </c>
      <c r="I31" s="28" t="str">
        <f>(H31+1)&amp;" and after"</f>
        <v>5 and after</v>
      </c>
    </row>
    <row r="32" spans="1:9" x14ac:dyDescent="0.25">
      <c r="B32" s="25" t="s">
        <v>159</v>
      </c>
      <c r="C32" s="43"/>
      <c r="D32" s="43"/>
      <c r="E32" s="43"/>
      <c r="F32" s="43"/>
      <c r="G32" s="43"/>
      <c r="H32" s="43"/>
      <c r="I32" s="43"/>
    </row>
    <row r="33" spans="1:9" x14ac:dyDescent="0.25">
      <c r="B33" s="25" t="s">
        <v>160</v>
      </c>
      <c r="C33" s="43"/>
      <c r="D33" s="43"/>
      <c r="E33" s="43"/>
      <c r="F33" s="43"/>
      <c r="G33" s="43"/>
      <c r="H33" s="43"/>
      <c r="I33" s="72"/>
    </row>
    <row r="34" spans="1:9" x14ac:dyDescent="0.25">
      <c r="B34" s="25" t="s">
        <v>161</v>
      </c>
      <c r="C34" s="43"/>
      <c r="D34" s="43"/>
      <c r="E34" s="43"/>
      <c r="F34" s="43"/>
      <c r="G34" s="43"/>
      <c r="H34" s="43"/>
      <c r="I34" s="72"/>
    </row>
    <row r="35" spans="1:9" x14ac:dyDescent="0.25">
      <c r="B35" s="25" t="s">
        <v>162</v>
      </c>
      <c r="C35" s="43"/>
      <c r="D35" s="43"/>
      <c r="E35" s="43"/>
      <c r="F35" s="43"/>
      <c r="G35" s="43"/>
      <c r="H35" s="43"/>
      <c r="I35" s="72"/>
    </row>
    <row r="36" spans="1:9" x14ac:dyDescent="0.25">
      <c r="B36" s="25" t="s">
        <v>157</v>
      </c>
      <c r="C36" s="50">
        <f>IFERROR(((C32*$C$13)+(C33*$D$13)+(C34*$E$13)+(C35*$F$13))/$G$13,0)</f>
        <v>0</v>
      </c>
      <c r="D36" s="50">
        <f t="shared" ref="D36:I36" si="4">IFERROR(((D32*$C$13)+(D33*$D$13)+(D34*$E$13)+(D35*$F$13))/$G$13,0)</f>
        <v>0</v>
      </c>
      <c r="E36" s="50">
        <f t="shared" si="4"/>
        <v>0</v>
      </c>
      <c r="F36" s="50">
        <f t="shared" si="4"/>
        <v>0</v>
      </c>
      <c r="G36" s="50">
        <f t="shared" si="4"/>
        <v>0</v>
      </c>
      <c r="H36" s="50">
        <f t="shared" si="4"/>
        <v>0</v>
      </c>
      <c r="I36" s="50">
        <f t="shared" si="4"/>
        <v>0</v>
      </c>
    </row>
    <row r="37" spans="1:9" x14ac:dyDescent="0.25">
      <c r="B37" s="25" t="s">
        <v>156</v>
      </c>
      <c r="C37" s="50">
        <f>IFERROR((1-C36)/(1-$G$14),0)</f>
        <v>1</v>
      </c>
      <c r="D37" s="50">
        <f t="shared" ref="D37:I37" si="5">IFERROR((1-D36)/(1-$G$14),0)</f>
        <v>1</v>
      </c>
      <c r="E37" s="50">
        <f t="shared" si="5"/>
        <v>1</v>
      </c>
      <c r="F37" s="50">
        <f t="shared" si="5"/>
        <v>1</v>
      </c>
      <c r="G37" s="50">
        <f t="shared" si="5"/>
        <v>1</v>
      </c>
      <c r="H37" s="50">
        <f t="shared" si="5"/>
        <v>1</v>
      </c>
      <c r="I37" s="50">
        <f t="shared" si="5"/>
        <v>1</v>
      </c>
    </row>
    <row r="38" spans="1:9" x14ac:dyDescent="0.25">
      <c r="B38" s="25" t="s">
        <v>166</v>
      </c>
      <c r="C38" s="53">
        <f>12*((C26*$C$9*(1-C32))+(C27*$D$9*(1-C33))+(C28*$E$9*(1-C34))+(C29*$F$9*(1-C35)))</f>
        <v>0</v>
      </c>
      <c r="D38" s="53">
        <f t="shared" ref="D38:H38" si="6">12*((D26*$C$9*(1-D32))+(D27*$D$9*(1-D33))+(D28*$E$9*(1-D34))+(D29*$F$9*(1-D35)))</f>
        <v>0</v>
      </c>
      <c r="E38" s="53">
        <f t="shared" si="6"/>
        <v>0</v>
      </c>
      <c r="F38" s="53">
        <f t="shared" si="6"/>
        <v>0</v>
      </c>
      <c r="G38" s="53">
        <f t="shared" si="6"/>
        <v>0</v>
      </c>
      <c r="H38" s="53">
        <f t="shared" si="6"/>
        <v>0</v>
      </c>
      <c r="I38" s="53"/>
    </row>
    <row r="40" spans="1:9" x14ac:dyDescent="0.25">
      <c r="A40" s="26" t="s">
        <v>158</v>
      </c>
      <c r="C40" s="28">
        <f>D40-1</f>
        <v>-1</v>
      </c>
      <c r="D40" s="28">
        <f>StartYear</f>
        <v>0</v>
      </c>
      <c r="E40" s="28">
        <f>+D40+1</f>
        <v>1</v>
      </c>
      <c r="F40" s="28">
        <f>+E40+1</f>
        <v>2</v>
      </c>
      <c r="G40" s="28">
        <f>+F40+1</f>
        <v>3</v>
      </c>
      <c r="H40" s="28">
        <f>+G40+1</f>
        <v>4</v>
      </c>
      <c r="I40" s="28" t="str">
        <f>"% incr. after "&amp;H40</f>
        <v>% incr. after 4</v>
      </c>
    </row>
    <row r="41" spans="1:9" x14ac:dyDescent="0.25">
      <c r="B41" s="25" t="str">
        <f>"Oper. expenses per unit - "&amp;B32</f>
        <v>Oper. expenses per unit - Residential #1:</v>
      </c>
      <c r="C41" s="30"/>
      <c r="D41" s="30"/>
      <c r="E41" s="30"/>
      <c r="F41" s="30"/>
      <c r="G41" s="30"/>
      <c r="H41" s="30"/>
      <c r="I41" s="43"/>
    </row>
    <row r="42" spans="1:9" x14ac:dyDescent="0.25">
      <c r="B42" s="25" t="str">
        <f>"Oper. expenses per unit - "&amp;B33</f>
        <v>Oper. expenses per unit - Residential #2:</v>
      </c>
      <c r="C42" s="30"/>
      <c r="D42" s="30"/>
      <c r="E42" s="30"/>
      <c r="F42" s="30"/>
      <c r="G42" s="30"/>
      <c r="H42" s="30"/>
      <c r="I42" s="72"/>
    </row>
    <row r="43" spans="1:9" x14ac:dyDescent="0.25">
      <c r="B43" s="25" t="str">
        <f>"Oper. expenses per unit - "&amp;B34</f>
        <v>Oper. expenses per unit - Residential #3:</v>
      </c>
      <c r="C43" s="30"/>
      <c r="D43" s="30"/>
      <c r="E43" s="30"/>
      <c r="F43" s="30"/>
      <c r="G43" s="30"/>
      <c r="H43" s="30"/>
      <c r="I43" s="72"/>
    </row>
    <row r="44" spans="1:9" x14ac:dyDescent="0.25">
      <c r="B44" s="25" t="str">
        <f>"Oper. expenses per unit - "&amp;B35</f>
        <v>Oper. expenses per unit - Residential #4:</v>
      </c>
      <c r="C44" s="30"/>
      <c r="D44" s="30"/>
      <c r="E44" s="30"/>
      <c r="F44" s="30"/>
      <c r="G44" s="30"/>
      <c r="H44" s="30"/>
      <c r="I44" s="72"/>
    </row>
    <row r="45" spans="1:9" x14ac:dyDescent="0.25">
      <c r="B45" s="25" t="s">
        <v>163</v>
      </c>
      <c r="C45" s="52">
        <f>(C41*$C$9*(1-C32))+(C42*$D$9*(1-C33))+(C43*$E$9*(1-C34))*(C44*$F$9*(1-C35))</f>
        <v>0</v>
      </c>
      <c r="D45" s="52">
        <f>(D41*$C$9*(1-D32))+(D42*$D$9*(1-D33))+(D43*$E$9*(1-D34))*(D44*$F$9*(1-D35))</f>
        <v>0</v>
      </c>
      <c r="E45" s="52">
        <f>(E41*$C$9*(1-E32))+(E42*$D$9*(1-E33))+(E43*$E$9*(1-E34))*(E44*$F$9*(1-E35))</f>
        <v>0</v>
      </c>
      <c r="F45" s="52">
        <f>(F41*$C$9*(1-F32))+(F42*$D$9*(1-F33))+(F43*$E$9*(1-F34))*(F44*$F$9*(1-F35))</f>
        <v>0</v>
      </c>
      <c r="G45" s="52">
        <f>(G41*$C$9*(1-G32))+(G42*$D$9*(1-G33))+(G43*$E$9*(1-G34))*(G44*$F$9*(1-G35))</f>
        <v>0</v>
      </c>
      <c r="H45" s="52">
        <f>(H41*$C$9*(1-H32))+(H42*$D$9*(1-H33))+(H43*$E$9*(1-H34))*(H44*$F$9*(1-H35))</f>
        <v>0</v>
      </c>
    </row>
    <row r="46" spans="1:9" x14ac:dyDescent="0.25">
      <c r="B46" s="25" t="s">
        <v>164</v>
      </c>
      <c r="C46" s="50">
        <f>IFERROR(C45/C38,0)</f>
        <v>0</v>
      </c>
      <c r="D46" s="50">
        <f>IFERROR(D45/D38,0)</f>
        <v>0</v>
      </c>
      <c r="E46" s="50">
        <f>IFERROR(E45/E38,0)</f>
        <v>0</v>
      </c>
      <c r="F46" s="50">
        <f>IFERROR(F45/F38,0)</f>
        <v>0</v>
      </c>
      <c r="G46" s="50">
        <f>IFERROR(G45/G38,0)</f>
        <v>0</v>
      </c>
      <c r="H46" s="50">
        <f>IFERROR(H45/H38,0)</f>
        <v>0</v>
      </c>
    </row>
    <row r="48" spans="1:9" x14ac:dyDescent="0.25">
      <c r="A48" s="47" t="s">
        <v>171</v>
      </c>
      <c r="B48" s="48"/>
      <c r="C48" s="48"/>
      <c r="D48" s="48"/>
      <c r="E48" s="48"/>
      <c r="F48" s="48"/>
      <c r="G48" s="48"/>
      <c r="H48" s="48"/>
      <c r="I48" s="48"/>
    </row>
    <row r="49" spans="2:8" x14ac:dyDescent="0.25">
      <c r="D49" s="28" t="s">
        <v>184</v>
      </c>
      <c r="E49" s="28" t="s">
        <v>185</v>
      </c>
      <c r="F49" s="28" t="s">
        <v>186</v>
      </c>
    </row>
    <row r="50" spans="2:8" x14ac:dyDescent="0.25">
      <c r="B50" s="25" t="s">
        <v>175</v>
      </c>
      <c r="D50" s="59"/>
      <c r="E50" s="59"/>
      <c r="F50" s="59"/>
    </row>
    <row r="51" spans="2:8" x14ac:dyDescent="0.25">
      <c r="B51" s="25" t="s">
        <v>176</v>
      </c>
      <c r="D51" s="60"/>
      <c r="E51" s="60"/>
      <c r="F51" s="60"/>
    </row>
    <row r="52" spans="2:8" x14ac:dyDescent="0.25">
      <c r="B52" s="25" t="s">
        <v>177</v>
      </c>
      <c r="D52" s="39"/>
      <c r="E52" s="39"/>
      <c r="F52" s="39"/>
    </row>
    <row r="53" spans="2:8" x14ac:dyDescent="0.25">
      <c r="B53" s="25" t="s">
        <v>178</v>
      </c>
      <c r="D53" s="62">
        <f>D50*D52</f>
        <v>0</v>
      </c>
      <c r="E53" s="62">
        <f>E50*E52</f>
        <v>0</v>
      </c>
      <c r="F53" s="62">
        <f>F50*F52</f>
        <v>0</v>
      </c>
    </row>
    <row r="54" spans="2:8" x14ac:dyDescent="0.25">
      <c r="D54" s="63"/>
      <c r="E54" s="63"/>
      <c r="F54" s="63"/>
    </row>
    <row r="55" spans="2:8" x14ac:dyDescent="0.25">
      <c r="B55" s="25" t="s">
        <v>179</v>
      </c>
      <c r="D55" s="30"/>
      <c r="E55" s="30"/>
      <c r="F55" s="30"/>
    </row>
    <row r="56" spans="2:8" x14ac:dyDescent="0.25">
      <c r="B56" s="25" t="s">
        <v>181</v>
      </c>
      <c r="D56" s="30"/>
      <c r="E56" s="30"/>
      <c r="F56" s="30"/>
    </row>
    <row r="57" spans="2:8" x14ac:dyDescent="0.25">
      <c r="B57" s="25" t="s">
        <v>180</v>
      </c>
      <c r="D57" s="61">
        <f>IFERROR(D56/D50,0)</f>
        <v>0</v>
      </c>
      <c r="E57" s="61">
        <f>IFERROR(E56/E50,0)</f>
        <v>0</v>
      </c>
      <c r="F57" s="61">
        <f>IFERROR(F56/F50,0)</f>
        <v>0</v>
      </c>
    </row>
    <row r="58" spans="2:8" x14ac:dyDescent="0.25">
      <c r="B58" s="25" t="s">
        <v>182</v>
      </c>
      <c r="D58" s="50">
        <v>0.15</v>
      </c>
      <c r="E58" s="50">
        <v>0.15</v>
      </c>
      <c r="F58" s="50">
        <v>0.15</v>
      </c>
    </row>
    <row r="59" spans="2:8" x14ac:dyDescent="0.25">
      <c r="B59" s="25" t="s">
        <v>183</v>
      </c>
      <c r="D59" s="57">
        <f>D55*(1-D58)</f>
        <v>0</v>
      </c>
      <c r="E59" s="57">
        <f>E55*(1-E58)</f>
        <v>0</v>
      </c>
      <c r="F59" s="57">
        <f>F55*(1-F58)</f>
        <v>0</v>
      </c>
    </row>
    <row r="60" spans="2:8" x14ac:dyDescent="0.25">
      <c r="D60" s="57"/>
      <c r="E60" s="57"/>
      <c r="F60" s="57"/>
    </row>
    <row r="61" spans="2:8" x14ac:dyDescent="0.25">
      <c r="B61" s="25" t="s">
        <v>172</v>
      </c>
      <c r="D61" s="9"/>
      <c r="E61" s="9"/>
      <c r="F61" s="9"/>
    </row>
    <row r="62" spans="2:8" x14ac:dyDescent="0.25">
      <c r="B62" s="25" t="s">
        <v>173</v>
      </c>
      <c r="D62" s="59">
        <v>0</v>
      </c>
      <c r="E62" s="59">
        <v>0</v>
      </c>
      <c r="F62" s="59">
        <v>0</v>
      </c>
    </row>
    <row r="64" spans="2:8" x14ac:dyDescent="0.25">
      <c r="B64" s="25" t="s">
        <v>626</v>
      </c>
      <c r="C64" s="60">
        <v>2028</v>
      </c>
      <c r="D64" s="60">
        <f>+C64+1</f>
        <v>2029</v>
      </c>
      <c r="E64" s="60">
        <f>+D64+1</f>
        <v>2030</v>
      </c>
      <c r="F64" s="60">
        <f>+E64+1</f>
        <v>2031</v>
      </c>
      <c r="G64" s="60">
        <f>+F64+1</f>
        <v>2032</v>
      </c>
      <c r="H64" s="60">
        <f>+G64+1</f>
        <v>2033</v>
      </c>
    </row>
    <row r="65" spans="2:9" x14ac:dyDescent="0.25">
      <c r="B65" s="25" t="s">
        <v>187</v>
      </c>
      <c r="C65" s="59"/>
      <c r="D65" s="59"/>
      <c r="E65" s="59"/>
      <c r="F65" s="59"/>
      <c r="G65" s="59"/>
      <c r="H65" s="59"/>
      <c r="I65" s="25" t="str">
        <f>IF(SUM(C65:H65)&gt;D50,"SALES EXCEED UNITS BUILT","")</f>
        <v/>
      </c>
    </row>
    <row r="66" spans="2:9" x14ac:dyDescent="0.25">
      <c r="B66" s="25" t="s">
        <v>188</v>
      </c>
      <c r="C66" s="59"/>
      <c r="D66" s="59"/>
      <c r="E66" s="59"/>
      <c r="F66" s="59"/>
      <c r="G66" s="59"/>
      <c r="H66" s="59"/>
      <c r="I66" s="25" t="str">
        <f>IF(SUM(C66:H66)&gt;E50,"SALES EXCEED UNITS BUILT","")</f>
        <v/>
      </c>
    </row>
    <row r="67" spans="2:9" x14ac:dyDescent="0.25">
      <c r="B67" s="25" t="s">
        <v>189</v>
      </c>
      <c r="C67" s="59"/>
      <c r="D67" s="59"/>
      <c r="E67" s="59"/>
      <c r="F67" s="59"/>
      <c r="G67" s="59"/>
      <c r="H67" s="59"/>
      <c r="I67" s="25" t="str">
        <f>IF(SUM(C67:H67)&gt;F50,"SALES EXCEED UNITS BUILT","")</f>
        <v/>
      </c>
    </row>
    <row r="68" spans="2:9" x14ac:dyDescent="0.25">
      <c r="B68" s="25" t="s">
        <v>625</v>
      </c>
      <c r="C68" s="61">
        <f>(C65*$D$59)+(C66*$E$59)+(C67*$F$59)</f>
        <v>0</v>
      </c>
      <c r="D68" s="61">
        <f t="shared" ref="D68:H68" si="7">(D65*$D$59)+(D66*$E$59)+(D67*$F$59)</f>
        <v>0</v>
      </c>
      <c r="E68" s="61">
        <f t="shared" si="7"/>
        <v>0</v>
      </c>
      <c r="F68" s="61">
        <f t="shared" si="7"/>
        <v>0</v>
      </c>
      <c r="G68" s="61">
        <f t="shared" si="7"/>
        <v>0</v>
      </c>
      <c r="H68" s="61">
        <f t="shared" si="7"/>
        <v>0</v>
      </c>
    </row>
    <row r="70" spans="2:9" x14ac:dyDescent="0.25">
      <c r="B70" s="25" t="s">
        <v>174</v>
      </c>
      <c r="C70" s="9"/>
    </row>
  </sheetData>
  <conditionalFormatting sqref="B20:D22">
    <cfRule type="expression" dxfId="37" priority="7">
      <formula>$D$19="Yes"</formula>
    </cfRule>
  </conditionalFormatting>
  <conditionalFormatting sqref="C5">
    <cfRule type="expression" dxfId="36" priority="1">
      <formula>$C$4="No"</formula>
    </cfRule>
  </conditionalFormatting>
  <conditionalFormatting sqref="C33:H33">
    <cfRule type="expression" dxfId="35" priority="4">
      <formula>C33&gt;$D$14</formula>
    </cfRule>
  </conditionalFormatting>
  <conditionalFormatting sqref="C34:H34">
    <cfRule type="expression" dxfId="34" priority="3">
      <formula>C34&gt;$E$14</formula>
    </cfRule>
  </conditionalFormatting>
  <conditionalFormatting sqref="C35:H35">
    <cfRule type="expression" dxfId="33" priority="2">
      <formula>C35&gt;$F$14</formula>
    </cfRule>
  </conditionalFormatting>
  <conditionalFormatting sqref="C32:I32">
    <cfRule type="expression" dxfId="32" priority="5">
      <formula>C32&gt;$C$14</formula>
    </cfRule>
  </conditionalFormatting>
  <dataValidations count="2">
    <dataValidation type="list" allowBlank="1" showInputMessage="1" showErrorMessage="1" sqref="D23 D19 D61:F61 C70" xr:uid="{68C7E770-34DD-41E4-9FC9-6C740B4870F5}">
      <formula1>"Yes, No"</formula1>
    </dataValidation>
    <dataValidation type="list" allowBlank="1" showInputMessage="1" showErrorMessage="1" sqref="C5" xr:uid="{0C6B42D7-6037-4843-91E4-0BA35D9C57D8}">
      <formula1>Months</formula1>
    </dataValidation>
  </dataValidation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3775-188F-4BCC-95A8-C469C0B7EC9E}">
  <sheetPr>
    <tabColor theme="7" tint="0.79998168889431442"/>
  </sheetPr>
  <dimension ref="A1:I100"/>
  <sheetViews>
    <sheetView workbookViewId="0">
      <selection activeCell="C33" sqref="C33:C35"/>
    </sheetView>
  </sheetViews>
  <sheetFormatPr defaultColWidth="9.140625" defaultRowHeight="15.75" x14ac:dyDescent="0.25"/>
  <cols>
    <col min="1" max="1" width="2.7109375" style="26" customWidth="1"/>
    <col min="2" max="2" width="49.42578125" style="25" customWidth="1"/>
    <col min="3" max="9" width="16.7109375" style="25" customWidth="1"/>
    <col min="10" max="16384" width="9.140625" style="25"/>
  </cols>
  <sheetData>
    <row r="1" spans="1:9" s="37" customFormat="1" ht="18.75" x14ac:dyDescent="0.3">
      <c r="A1" s="27" t="s">
        <v>190</v>
      </c>
    </row>
    <row r="3" spans="1:9" x14ac:dyDescent="0.25">
      <c r="A3" s="47" t="s">
        <v>191</v>
      </c>
      <c r="B3" s="48"/>
      <c r="C3" s="48"/>
      <c r="D3" s="48"/>
      <c r="E3" s="48"/>
      <c r="F3" s="48"/>
      <c r="G3" s="48"/>
      <c r="H3" s="48"/>
      <c r="I3" s="48"/>
    </row>
    <row r="4" spans="1:9" x14ac:dyDescent="0.25">
      <c r="B4" s="1" t="s">
        <v>98</v>
      </c>
      <c r="C4" s="9"/>
      <c r="D4" s="1"/>
    </row>
    <row r="5" spans="1:9" x14ac:dyDescent="0.25">
      <c r="B5" s="1" t="s">
        <v>99</v>
      </c>
      <c r="C5" s="55"/>
      <c r="D5" s="1"/>
      <c r="E5" s="98">
        <f>_xlfn.XLOOKUP(C5,Months,DropDowns!$R$4:$R$15,1)</f>
        <v>1</v>
      </c>
    </row>
    <row r="6" spans="1:9" x14ac:dyDescent="0.25">
      <c r="B6" s="1" t="s">
        <v>100</v>
      </c>
      <c r="C6" s="9"/>
      <c r="D6" s="1"/>
    </row>
    <row r="7" spans="1:9" x14ac:dyDescent="0.25">
      <c r="B7" s="1" t="s">
        <v>192</v>
      </c>
      <c r="C7" s="9"/>
      <c r="D7" s="1"/>
    </row>
    <row r="9" spans="1:9" s="36" customFormat="1" x14ac:dyDescent="0.25">
      <c r="A9" s="26" t="s">
        <v>193</v>
      </c>
      <c r="C9" s="49" t="s">
        <v>194</v>
      </c>
      <c r="D9" s="49" t="s">
        <v>195</v>
      </c>
      <c r="E9" s="49" t="s">
        <v>196</v>
      </c>
      <c r="F9" s="49" t="s">
        <v>197</v>
      </c>
      <c r="G9" s="49" t="s">
        <v>202</v>
      </c>
    </row>
    <row r="10" spans="1:9" x14ac:dyDescent="0.25">
      <c r="B10" s="38" t="s">
        <v>198</v>
      </c>
      <c r="C10" s="39"/>
      <c r="D10" s="39"/>
      <c r="E10" s="39"/>
      <c r="F10" s="39"/>
      <c r="G10" s="42">
        <f>SUM(C10:F10)</f>
        <v>0</v>
      </c>
    </row>
    <row r="11" spans="1:9" x14ac:dyDescent="0.25">
      <c r="B11" s="38" t="s">
        <v>199</v>
      </c>
      <c r="C11" s="64"/>
      <c r="D11" s="30"/>
      <c r="E11" s="30"/>
      <c r="F11" s="30"/>
      <c r="G11" s="90">
        <f>IFERROR(SUMPRODUCT(C10:F10,C11:F11)/G10,0)</f>
        <v>0</v>
      </c>
    </row>
    <row r="12" spans="1:9" x14ac:dyDescent="0.25">
      <c r="B12" s="38" t="s">
        <v>200</v>
      </c>
      <c r="C12" s="64"/>
      <c r="D12" s="30"/>
      <c r="E12" s="30"/>
      <c r="F12" s="30"/>
      <c r="G12" s="90">
        <f>IFERROR(SUMPRODUCT(C10:F10,C12:F12)/G10,0)</f>
        <v>0</v>
      </c>
    </row>
    <row r="13" spans="1:9" x14ac:dyDescent="0.25">
      <c r="B13" s="38" t="s">
        <v>201</v>
      </c>
      <c r="C13" s="29">
        <f>+C11+C12</f>
        <v>0</v>
      </c>
      <c r="D13" s="29">
        <f t="shared" ref="D13:F13" si="0">+D11+D12</f>
        <v>0</v>
      </c>
      <c r="E13" s="29">
        <f t="shared" si="0"/>
        <v>0</v>
      </c>
      <c r="F13" s="29">
        <f t="shared" si="0"/>
        <v>0</v>
      </c>
      <c r="G13" s="90">
        <f>IFERROR(SUMPRODUCT(C10:F10,C13:F13)/G10,0)</f>
        <v>0</v>
      </c>
    </row>
    <row r="14" spans="1:9" x14ac:dyDescent="0.25">
      <c r="B14" s="38" t="s">
        <v>139</v>
      </c>
      <c r="C14" s="40">
        <f>C10*C13</f>
        <v>0</v>
      </c>
      <c r="D14" s="40">
        <f t="shared" ref="D14:F14" si="1">D10*D13</f>
        <v>0</v>
      </c>
      <c r="E14" s="40">
        <f t="shared" si="1"/>
        <v>0</v>
      </c>
      <c r="F14" s="40">
        <f t="shared" si="1"/>
        <v>0</v>
      </c>
      <c r="G14" s="40">
        <f t="shared" ref="G14:G16" si="2">SUM(C14:F14)</f>
        <v>0</v>
      </c>
    </row>
    <row r="15" spans="1:9" x14ac:dyDescent="0.25">
      <c r="B15" s="38" t="s">
        <v>140</v>
      </c>
      <c r="C15" s="43"/>
      <c r="D15" s="43"/>
      <c r="E15" s="43"/>
      <c r="F15" s="43"/>
      <c r="G15" s="51">
        <f>IFERROR(1-(G16/G14),0)</f>
        <v>0</v>
      </c>
    </row>
    <row r="16" spans="1:9" x14ac:dyDescent="0.25">
      <c r="B16" s="38" t="s">
        <v>141</v>
      </c>
      <c r="C16" s="69">
        <f>C14*(1-C15)</f>
        <v>0</v>
      </c>
      <c r="D16" s="69">
        <f t="shared" ref="D16:F16" si="3">D14*(1-D15)</f>
        <v>0</v>
      </c>
      <c r="E16" s="69">
        <f t="shared" si="3"/>
        <v>0</v>
      </c>
      <c r="F16" s="69">
        <f t="shared" si="3"/>
        <v>0</v>
      </c>
      <c r="G16" s="70">
        <f t="shared" si="2"/>
        <v>0</v>
      </c>
    </row>
    <row r="17" spans="1:9" x14ac:dyDescent="0.25">
      <c r="C17" s="56"/>
    </row>
    <row r="18" spans="1:9" x14ac:dyDescent="0.25">
      <c r="A18" s="26" t="s">
        <v>154</v>
      </c>
      <c r="C18" s="28"/>
      <c r="D18" s="28">
        <f>StartYear</f>
        <v>0</v>
      </c>
      <c r="E18" s="28">
        <f>+D18+1</f>
        <v>1</v>
      </c>
      <c r="F18" s="28">
        <f>+E18+1</f>
        <v>2</v>
      </c>
      <c r="G18" s="28">
        <f>+F18+1</f>
        <v>3</v>
      </c>
      <c r="H18" s="28">
        <f>+G18+1</f>
        <v>4</v>
      </c>
      <c r="I18" s="28" t="str">
        <f>(H18+1)&amp;" and after"</f>
        <v>5 and after</v>
      </c>
    </row>
    <row r="19" spans="1:9" x14ac:dyDescent="0.25">
      <c r="B19" s="25" t="s">
        <v>203</v>
      </c>
      <c r="C19" s="65">
        <f>C11</f>
        <v>0</v>
      </c>
      <c r="D19" s="66"/>
      <c r="E19" s="66"/>
      <c r="F19" s="66"/>
      <c r="G19" s="66"/>
      <c r="H19" s="66"/>
      <c r="I19" s="43">
        <v>0.02</v>
      </c>
    </row>
    <row r="20" spans="1:9" x14ac:dyDescent="0.25">
      <c r="B20" s="25" t="s">
        <v>204</v>
      </c>
      <c r="C20" s="65">
        <f>D11</f>
        <v>0</v>
      </c>
      <c r="D20" s="66"/>
      <c r="E20" s="66"/>
      <c r="F20" s="66"/>
      <c r="G20" s="66"/>
      <c r="H20" s="66"/>
    </row>
    <row r="21" spans="1:9" x14ac:dyDescent="0.25">
      <c r="B21" s="25" t="s">
        <v>205</v>
      </c>
      <c r="C21" s="65">
        <f>E11</f>
        <v>0</v>
      </c>
      <c r="D21" s="66"/>
      <c r="E21" s="66"/>
      <c r="F21" s="66"/>
      <c r="G21" s="66"/>
      <c r="H21" s="66"/>
    </row>
    <row r="22" spans="1:9" x14ac:dyDescent="0.25">
      <c r="B22" s="25" t="s">
        <v>206</v>
      </c>
      <c r="C22" s="65">
        <f>F11</f>
        <v>0</v>
      </c>
      <c r="D22" s="66"/>
      <c r="E22" s="66"/>
      <c r="F22" s="66"/>
      <c r="G22" s="66"/>
      <c r="H22" s="66"/>
    </row>
    <row r="23" spans="1:9" x14ac:dyDescent="0.25">
      <c r="B23" s="25" t="s">
        <v>432</v>
      </c>
      <c r="C23" s="91">
        <f>IFERROR(($C$10*C19+$D$10*C20+$E$10*C21+$F$10*C22)/$G$10,0)</f>
        <v>0</v>
      </c>
      <c r="D23" s="91">
        <f t="shared" ref="D23:H23" si="4">IFERROR(($C$10*D19+$D$10*D20+$E$10*D21+$F$10*D22)/$G$10,0)</f>
        <v>0</v>
      </c>
      <c r="E23" s="91">
        <f t="shared" si="4"/>
        <v>0</v>
      </c>
      <c r="F23" s="91">
        <f t="shared" si="4"/>
        <v>0</v>
      </c>
      <c r="G23" s="91">
        <f t="shared" si="4"/>
        <v>0</v>
      </c>
      <c r="H23" s="91">
        <f t="shared" si="4"/>
        <v>0</v>
      </c>
    </row>
    <row r="25" spans="1:9" x14ac:dyDescent="0.25">
      <c r="A25" s="26" t="s">
        <v>434</v>
      </c>
      <c r="C25" s="28"/>
      <c r="D25" s="28">
        <f>StartYear</f>
        <v>0</v>
      </c>
      <c r="E25" s="28">
        <f>+D25+1</f>
        <v>1</v>
      </c>
      <c r="F25" s="28">
        <f>+E25+1</f>
        <v>2</v>
      </c>
      <c r="G25" s="28">
        <f>+F25+1</f>
        <v>3</v>
      </c>
      <c r="H25" s="28">
        <f>+G25+1</f>
        <v>4</v>
      </c>
      <c r="I25" s="28" t="str">
        <f>(H25+1)&amp;" and after"</f>
        <v>5 and after</v>
      </c>
    </row>
    <row r="26" spans="1:9" x14ac:dyDescent="0.25">
      <c r="B26" s="25" t="s">
        <v>203</v>
      </c>
      <c r="C26" s="65">
        <f>C12</f>
        <v>0</v>
      </c>
      <c r="D26" s="66"/>
      <c r="E26" s="66"/>
      <c r="F26" s="66"/>
      <c r="G26" s="66"/>
      <c r="H26" s="66"/>
      <c r="I26" s="43">
        <v>0.03</v>
      </c>
    </row>
    <row r="27" spans="1:9" x14ac:dyDescent="0.25">
      <c r="B27" s="25" t="s">
        <v>204</v>
      </c>
      <c r="C27" s="65">
        <f>D12</f>
        <v>0</v>
      </c>
      <c r="D27" s="66"/>
      <c r="E27" s="66"/>
      <c r="F27" s="66"/>
      <c r="G27" s="66"/>
      <c r="H27" s="66"/>
    </row>
    <row r="28" spans="1:9" x14ac:dyDescent="0.25">
      <c r="B28" s="25" t="s">
        <v>205</v>
      </c>
      <c r="C28" s="65">
        <f>E12</f>
        <v>0</v>
      </c>
      <c r="D28" s="66"/>
      <c r="E28" s="66"/>
      <c r="F28" s="66"/>
      <c r="G28" s="66"/>
      <c r="H28" s="66"/>
    </row>
    <row r="29" spans="1:9" x14ac:dyDescent="0.25">
      <c r="B29" s="25" t="s">
        <v>206</v>
      </c>
      <c r="C29" s="65">
        <f>F12</f>
        <v>0</v>
      </c>
      <c r="D29" s="66"/>
      <c r="E29" s="66"/>
      <c r="F29" s="66"/>
      <c r="G29" s="66"/>
      <c r="H29" s="66"/>
    </row>
    <row r="30" spans="1:9" x14ac:dyDescent="0.25">
      <c r="B30" s="25" t="s">
        <v>433</v>
      </c>
      <c r="C30" s="91">
        <f>IFERROR(($C$10*C26+$D$10*C27+$E$10*C28+$F$10*C29)/$G$10,0)</f>
        <v>0</v>
      </c>
      <c r="D30" s="91">
        <f t="shared" ref="D30:H30" si="5">IFERROR(($C$10*D26+$D$10*D27+$E$10*D28+$F$10*D29)/$G$10,0)</f>
        <v>0</v>
      </c>
      <c r="E30" s="91">
        <f t="shared" si="5"/>
        <v>0</v>
      </c>
      <c r="F30" s="91">
        <f t="shared" si="5"/>
        <v>0</v>
      </c>
      <c r="G30" s="91">
        <f t="shared" si="5"/>
        <v>0</v>
      </c>
      <c r="H30" s="91">
        <f t="shared" si="5"/>
        <v>0</v>
      </c>
    </row>
    <row r="32" spans="1:9" x14ac:dyDescent="0.25">
      <c r="A32" s="26" t="s">
        <v>155</v>
      </c>
      <c r="C32" s="28">
        <f>D32-1</f>
        <v>-1</v>
      </c>
      <c r="D32" s="28">
        <f>StartYear</f>
        <v>0</v>
      </c>
      <c r="E32" s="28">
        <f>+D32+1</f>
        <v>1</v>
      </c>
      <c r="F32" s="28">
        <f>+E32+1</f>
        <v>2</v>
      </c>
      <c r="G32" s="28">
        <f>+F32+1</f>
        <v>3</v>
      </c>
      <c r="H32" s="28">
        <f>+G32+1</f>
        <v>4</v>
      </c>
      <c r="I32" s="28" t="str">
        <f>(H32+1)&amp;" and after"</f>
        <v>5 and after</v>
      </c>
    </row>
    <row r="33" spans="1:9" x14ac:dyDescent="0.25">
      <c r="B33" s="25" t="s">
        <v>203</v>
      </c>
      <c r="C33" s="43"/>
      <c r="D33" s="43"/>
      <c r="E33" s="43"/>
      <c r="F33" s="43"/>
      <c r="G33" s="43"/>
      <c r="H33" s="43"/>
      <c r="I33" s="43">
        <v>0.1</v>
      </c>
    </row>
    <row r="34" spans="1:9" x14ac:dyDescent="0.25">
      <c r="B34" s="25" t="s">
        <v>204</v>
      </c>
      <c r="C34" s="43"/>
      <c r="D34" s="43"/>
      <c r="E34" s="43"/>
      <c r="F34" s="43"/>
      <c r="G34" s="43"/>
      <c r="H34" s="43"/>
      <c r="I34" s="43"/>
    </row>
    <row r="35" spans="1:9" x14ac:dyDescent="0.25">
      <c r="B35" s="25" t="s">
        <v>205</v>
      </c>
      <c r="C35" s="43"/>
      <c r="D35" s="43"/>
      <c r="E35" s="43"/>
      <c r="F35" s="43"/>
      <c r="G35" s="43"/>
      <c r="H35" s="43"/>
      <c r="I35" s="43"/>
    </row>
    <row r="36" spans="1:9" x14ac:dyDescent="0.25">
      <c r="B36" s="25" t="s">
        <v>206</v>
      </c>
      <c r="C36" s="43"/>
      <c r="D36" s="43"/>
      <c r="E36" s="43"/>
      <c r="F36" s="43"/>
      <c r="G36" s="43"/>
      <c r="H36" s="43"/>
      <c r="I36" s="43"/>
    </row>
    <row r="37" spans="1:9" x14ac:dyDescent="0.25">
      <c r="B37" s="25" t="s">
        <v>157</v>
      </c>
      <c r="C37" s="50">
        <f>IFERROR(((C33*$C$14)+(C34*$D$14)+(C35*$E$14)+(C36*$F$14))/$G$14,0)</f>
        <v>0</v>
      </c>
      <c r="D37" s="50">
        <f t="shared" ref="D37:I37" si="6">IFERROR(((D33*$C$14)+(D34*$D$14)+(D35*$E$14)+(D36*$F$14))/$G$14,0)</f>
        <v>0</v>
      </c>
      <c r="E37" s="50">
        <f t="shared" si="6"/>
        <v>0</v>
      </c>
      <c r="F37" s="50">
        <f t="shared" si="6"/>
        <v>0</v>
      </c>
      <c r="G37" s="50">
        <f t="shared" si="6"/>
        <v>0</v>
      </c>
      <c r="H37" s="50">
        <f t="shared" si="6"/>
        <v>0</v>
      </c>
      <c r="I37" s="50">
        <f t="shared" si="6"/>
        <v>0</v>
      </c>
    </row>
    <row r="38" spans="1:9" x14ac:dyDescent="0.25">
      <c r="B38" s="25" t="s">
        <v>156</v>
      </c>
      <c r="C38" s="50">
        <f>IFERROR((1-C37)/(1-$G$15),0)</f>
        <v>1</v>
      </c>
      <c r="D38" s="50">
        <f t="shared" ref="D38:I38" si="7">IFERROR((1-D37)/(1-$G$15),0)</f>
        <v>1</v>
      </c>
      <c r="E38" s="50">
        <f t="shared" si="7"/>
        <v>1</v>
      </c>
      <c r="F38" s="50">
        <f t="shared" si="7"/>
        <v>1</v>
      </c>
      <c r="G38" s="50">
        <f t="shared" si="7"/>
        <v>1</v>
      </c>
      <c r="H38" s="50">
        <f t="shared" si="7"/>
        <v>1</v>
      </c>
      <c r="I38" s="50">
        <f t="shared" si="7"/>
        <v>1</v>
      </c>
    </row>
    <row r="39" spans="1:9" x14ac:dyDescent="0.25">
      <c r="B39" s="25" t="s">
        <v>166</v>
      </c>
      <c r="C39" s="68">
        <f>((C19+C26)*$C$10*(1-C33))+((C20+C27)*$D$10*(1-C34))+((C21+C28)*$E$10*(1-C35))+((C22+C29)*$F$10*(1-C36))</f>
        <v>0</v>
      </c>
      <c r="D39" s="68">
        <f t="shared" ref="D39:H39" si="8">((D19+D26)*$C$10*(1-D33))+((D20+D27)*$D$10*(1-D34))+((D21+D28)*$E$10*(1-D35))+((D22+D29)*$F$10*(1-D36))</f>
        <v>0</v>
      </c>
      <c r="E39" s="68">
        <f t="shared" si="8"/>
        <v>0</v>
      </c>
      <c r="F39" s="68">
        <f t="shared" si="8"/>
        <v>0</v>
      </c>
      <c r="G39" s="68">
        <f t="shared" si="8"/>
        <v>0</v>
      </c>
      <c r="H39" s="68">
        <f t="shared" si="8"/>
        <v>0</v>
      </c>
      <c r="I39" s="53"/>
    </row>
    <row r="41" spans="1:9" x14ac:dyDescent="0.25">
      <c r="A41" s="26" t="s">
        <v>208</v>
      </c>
      <c r="C41" s="28">
        <f>D41-1</f>
        <v>-1</v>
      </c>
      <c r="D41" s="28">
        <f>StartYear</f>
        <v>0</v>
      </c>
      <c r="E41" s="28">
        <f>+D41+1</f>
        <v>1</v>
      </c>
      <c r="F41" s="28">
        <f>+E41+1</f>
        <v>2</v>
      </c>
      <c r="G41" s="28">
        <f>+F41+1</f>
        <v>3</v>
      </c>
      <c r="H41" s="28">
        <f>+G41+1</f>
        <v>4</v>
      </c>
      <c r="I41" s="28" t="str">
        <f>(H41+1)&amp;" and after"</f>
        <v>5 and after</v>
      </c>
    </row>
    <row r="42" spans="1:9" x14ac:dyDescent="0.25">
      <c r="B42" s="25" t="str">
        <f>"Oper. expenses per sq ft - "&amp;B33</f>
        <v>Oper. expenses per sq ft - Retail #1:</v>
      </c>
      <c r="C42" s="64"/>
      <c r="D42" s="64"/>
      <c r="E42" s="64"/>
      <c r="F42" s="64"/>
      <c r="G42" s="64"/>
      <c r="H42" s="64"/>
      <c r="I42" s="43">
        <v>0.02</v>
      </c>
    </row>
    <row r="43" spans="1:9" x14ac:dyDescent="0.25">
      <c r="B43" s="25" t="str">
        <f>"Oper. expenses per sq ft - "&amp;B34</f>
        <v>Oper. expenses per sq ft - Retail #2:</v>
      </c>
      <c r="C43" s="64"/>
      <c r="D43" s="64"/>
      <c r="E43" s="64"/>
      <c r="F43" s="64"/>
      <c r="G43" s="64"/>
      <c r="H43" s="64"/>
      <c r="I43" s="43">
        <v>0.02</v>
      </c>
    </row>
    <row r="44" spans="1:9" x14ac:dyDescent="0.25">
      <c r="B44" s="25" t="str">
        <f>"Oper. expenses per sq ft - "&amp;B35</f>
        <v>Oper. expenses per sq ft - Retail #3:</v>
      </c>
      <c r="C44" s="64"/>
      <c r="D44" s="64"/>
      <c r="E44" s="64"/>
      <c r="F44" s="64"/>
      <c r="G44" s="64"/>
      <c r="H44" s="64"/>
      <c r="I44" s="43">
        <v>0.02</v>
      </c>
    </row>
    <row r="45" spans="1:9" x14ac:dyDescent="0.25">
      <c r="B45" s="25" t="str">
        <f>"Oper. expenses per sq ft - "&amp;B36</f>
        <v>Oper. expenses per sq ft - Retail #4:</v>
      </c>
      <c r="C45" s="64"/>
      <c r="D45" s="64"/>
      <c r="E45" s="64"/>
      <c r="F45" s="64"/>
      <c r="G45" s="64"/>
      <c r="H45" s="64"/>
      <c r="I45" s="43">
        <v>0.02</v>
      </c>
    </row>
    <row r="46" spans="1:9" x14ac:dyDescent="0.25">
      <c r="B46" s="25" t="s">
        <v>163</v>
      </c>
      <c r="C46" s="67">
        <f>(C42*$C$10*(1-0))+(C43*$D$10*(1-0))+(C44*$E$10*(1-0))+(C45*$F$10*(1-0))</f>
        <v>0</v>
      </c>
      <c r="D46" s="67">
        <f t="shared" ref="D46:H46" si="9">(D42*$C$10*(1-0))+(D43*$D$10*(1-0))+(D44*$E$10*(1-0))+(D45*$F$10*(1-0))</f>
        <v>0</v>
      </c>
      <c r="E46" s="67">
        <f t="shared" si="9"/>
        <v>0</v>
      </c>
      <c r="F46" s="67">
        <f t="shared" si="9"/>
        <v>0</v>
      </c>
      <c r="G46" s="67">
        <f t="shared" si="9"/>
        <v>0</v>
      </c>
      <c r="H46" s="67">
        <f t="shared" si="9"/>
        <v>0</v>
      </c>
    </row>
    <row r="47" spans="1:9" x14ac:dyDescent="0.25">
      <c r="B47" s="25" t="s">
        <v>164</v>
      </c>
      <c r="C47" s="50">
        <f>IFERROR(C46/C39,0)</f>
        <v>0</v>
      </c>
      <c r="D47" s="50">
        <f t="shared" ref="D47:H47" si="10">IFERROR(D46/D39,0)</f>
        <v>0</v>
      </c>
      <c r="E47" s="50">
        <f t="shared" si="10"/>
        <v>0</v>
      </c>
      <c r="F47" s="50">
        <f t="shared" si="10"/>
        <v>0</v>
      </c>
      <c r="G47" s="50">
        <f t="shared" si="10"/>
        <v>0</v>
      </c>
      <c r="H47" s="50">
        <f t="shared" si="10"/>
        <v>0</v>
      </c>
    </row>
    <row r="49" spans="1:9" x14ac:dyDescent="0.25">
      <c r="A49" s="26" t="s">
        <v>209</v>
      </c>
      <c r="C49" s="49" t="s">
        <v>194</v>
      </c>
      <c r="D49" s="49" t="s">
        <v>195</v>
      </c>
      <c r="E49" s="49" t="s">
        <v>196</v>
      </c>
      <c r="F49" s="49" t="s">
        <v>197</v>
      </c>
      <c r="G49" s="49" t="s">
        <v>202</v>
      </c>
    </row>
    <row r="50" spans="1:9" x14ac:dyDescent="0.25">
      <c r="B50" s="25" t="s">
        <v>211</v>
      </c>
      <c r="C50" s="39"/>
      <c r="D50" s="39"/>
      <c r="E50" s="39"/>
      <c r="F50" s="39"/>
      <c r="G50" s="58">
        <f>SUM(C50:F50)</f>
        <v>0</v>
      </c>
    </row>
    <row r="51" spans="1:9" x14ac:dyDescent="0.25">
      <c r="B51" s="25" t="s">
        <v>212</v>
      </c>
      <c r="C51" s="30"/>
      <c r="D51" s="30"/>
      <c r="E51" s="30"/>
      <c r="F51" s="30"/>
      <c r="G51" s="57">
        <f>SUM(C51:F51)</f>
        <v>0</v>
      </c>
    </row>
    <row r="52" spans="1:9" x14ac:dyDescent="0.25">
      <c r="B52" s="25" t="s">
        <v>210</v>
      </c>
      <c r="C52" s="61">
        <f>IFERROR(C51/C50,0)</f>
        <v>0</v>
      </c>
      <c r="D52" s="61">
        <f t="shared" ref="D52:G52" si="11">IFERROR(D51/D50,0)</f>
        <v>0</v>
      </c>
      <c r="E52" s="61">
        <f t="shared" si="11"/>
        <v>0</v>
      </c>
      <c r="F52" s="61">
        <f t="shared" si="11"/>
        <v>0</v>
      </c>
      <c r="G52" s="61">
        <f t="shared" si="11"/>
        <v>0</v>
      </c>
    </row>
    <row r="53" spans="1:9" x14ac:dyDescent="0.25">
      <c r="B53" s="25" t="s">
        <v>213</v>
      </c>
      <c r="C53" s="9"/>
    </row>
    <row r="55" spans="1:9" x14ac:dyDescent="0.25">
      <c r="A55" s="26" t="s">
        <v>167</v>
      </c>
    </row>
    <row r="56" spans="1:9" x14ac:dyDescent="0.25">
      <c r="B56" s="25" t="s">
        <v>214</v>
      </c>
      <c r="C56" s="84" t="e">
        <f>SUMIF(#REF!,FirstYearRetail,#REF!)</f>
        <v>#REF!</v>
      </c>
      <c r="D56" s="96"/>
    </row>
    <row r="57" spans="1:9" x14ac:dyDescent="0.25">
      <c r="B57" s="25" t="s">
        <v>168</v>
      </c>
      <c r="C57" s="57" t="e">
        <f>+C56+D46</f>
        <v>#REF!</v>
      </c>
    </row>
    <row r="58" spans="1:9" x14ac:dyDescent="0.25">
      <c r="B58" s="25" t="s">
        <v>169</v>
      </c>
      <c r="C58" s="29">
        <f>IFERROR(C57/G10,0)</f>
        <v>0</v>
      </c>
    </row>
    <row r="59" spans="1:9" x14ac:dyDescent="0.25">
      <c r="B59" s="25" t="s">
        <v>652</v>
      </c>
      <c r="C59" s="84" t="e">
        <f>SUMIF(#REF!,FirstYearRetail,#REF!)+SUMIF(#REF!,FirstYearRetail,#REF!)-SUMIF(#REF!,FirstYearRetail,#REF!)</f>
        <v>#REF!</v>
      </c>
      <c r="D59" s="96"/>
    </row>
    <row r="61" spans="1:9" x14ac:dyDescent="0.25">
      <c r="A61" s="47" t="s">
        <v>215</v>
      </c>
      <c r="B61" s="48"/>
      <c r="C61" s="48"/>
      <c r="D61" s="48"/>
      <c r="E61" s="48"/>
      <c r="F61" s="48"/>
      <c r="G61" s="48"/>
      <c r="H61" s="48"/>
      <c r="I61" s="48"/>
    </row>
    <row r="62" spans="1:9" ht="15" x14ac:dyDescent="0.25">
      <c r="A62" s="25"/>
      <c r="B62" s="1" t="s">
        <v>98</v>
      </c>
      <c r="D62" s="9"/>
    </row>
    <row r="63" spans="1:9" ht="15" x14ac:dyDescent="0.25">
      <c r="A63" s="25"/>
      <c r="B63" s="1" t="s">
        <v>99</v>
      </c>
      <c r="D63" s="55"/>
      <c r="F63" s="98">
        <f>_xlfn.XLOOKUP(D63,Months,DropDowns!$R$4:$R$15,1)</f>
        <v>1</v>
      </c>
    </row>
    <row r="64" spans="1:9" ht="15" x14ac:dyDescent="0.25">
      <c r="A64" s="25"/>
      <c r="B64" s="1" t="s">
        <v>100</v>
      </c>
      <c r="D64" s="9"/>
    </row>
    <row r="65" spans="1:9" ht="15" x14ac:dyDescent="0.25">
      <c r="A65" s="25"/>
    </row>
    <row r="66" spans="1:9" x14ac:dyDescent="0.25">
      <c r="B66" s="25" t="s">
        <v>216</v>
      </c>
      <c r="D66" s="39"/>
    </row>
    <row r="67" spans="1:9" x14ac:dyDescent="0.25">
      <c r="B67" s="25" t="s">
        <v>217</v>
      </c>
      <c r="D67" s="39"/>
    </row>
    <row r="68" spans="1:9" x14ac:dyDescent="0.25">
      <c r="B68" s="25" t="s">
        <v>218</v>
      </c>
      <c r="D68" s="64"/>
    </row>
    <row r="69" spans="1:9" x14ac:dyDescent="0.25">
      <c r="B69" s="25" t="s">
        <v>219</v>
      </c>
      <c r="D69" s="61">
        <f>D68*D66*365</f>
        <v>0</v>
      </c>
    </row>
    <row r="70" spans="1:9" x14ac:dyDescent="0.25">
      <c r="B70" s="25" t="s">
        <v>220</v>
      </c>
      <c r="D70" s="71"/>
    </row>
    <row r="71" spans="1:9" x14ac:dyDescent="0.25">
      <c r="B71" s="25" t="s">
        <v>221</v>
      </c>
      <c r="D71" s="67">
        <f>D69*D70</f>
        <v>0</v>
      </c>
    </row>
    <row r="72" spans="1:9" x14ac:dyDescent="0.25">
      <c r="B72" s="25" t="s">
        <v>223</v>
      </c>
      <c r="D72" s="30"/>
      <c r="E72" s="56"/>
    </row>
    <row r="73" spans="1:9" x14ac:dyDescent="0.25">
      <c r="B73" s="25" t="s">
        <v>222</v>
      </c>
      <c r="D73" s="67">
        <f>+D71+D72</f>
        <v>0</v>
      </c>
    </row>
    <row r="75" spans="1:9" x14ac:dyDescent="0.25">
      <c r="A75" s="26" t="s">
        <v>225</v>
      </c>
      <c r="C75" s="28">
        <f>D75-1</f>
        <v>-1</v>
      </c>
      <c r="D75" s="28">
        <f>StartYear</f>
        <v>0</v>
      </c>
      <c r="E75" s="28">
        <f>+D75+1</f>
        <v>1</v>
      </c>
      <c r="F75" s="28">
        <f>+E75+1</f>
        <v>2</v>
      </c>
      <c r="G75" s="28">
        <f>+F75+1</f>
        <v>3</v>
      </c>
      <c r="H75" s="28">
        <f>+G75+1</f>
        <v>4</v>
      </c>
      <c r="I75" s="28" t="str">
        <f>(H75+1)&amp;" and after"</f>
        <v>5 and after</v>
      </c>
    </row>
    <row r="76" spans="1:9" x14ac:dyDescent="0.25">
      <c r="B76" s="25" t="s">
        <v>224</v>
      </c>
      <c r="C76" s="65"/>
      <c r="D76" s="66"/>
      <c r="E76" s="66"/>
      <c r="F76" s="66"/>
      <c r="G76" s="66"/>
      <c r="H76" s="66"/>
      <c r="I76" s="43"/>
    </row>
    <row r="77" spans="1:9" x14ac:dyDescent="0.25">
      <c r="B77" s="25" t="s">
        <v>226</v>
      </c>
      <c r="C77" s="54"/>
      <c r="D77" s="66"/>
      <c r="E77" s="66"/>
      <c r="F77" s="66"/>
      <c r="G77" s="66"/>
      <c r="H77" s="66"/>
      <c r="I77" s="43"/>
    </row>
    <row r="79" spans="1:9" x14ac:dyDescent="0.25">
      <c r="A79" s="26" t="s">
        <v>227</v>
      </c>
      <c r="C79" s="28">
        <f>D79-1</f>
        <v>-1</v>
      </c>
      <c r="D79" s="28">
        <f>StartYear</f>
        <v>0</v>
      </c>
      <c r="E79" s="28">
        <f>+D79+1</f>
        <v>1</v>
      </c>
      <c r="F79" s="28">
        <f>+E79+1</f>
        <v>2</v>
      </c>
      <c r="G79" s="28">
        <f>+F79+1</f>
        <v>3</v>
      </c>
      <c r="H79" s="28">
        <f>+G79+1</f>
        <v>4</v>
      </c>
      <c r="I79" s="28" t="str">
        <f>(H79+1)&amp;" and after"</f>
        <v>5 and after</v>
      </c>
    </row>
    <row r="80" spans="1:9" x14ac:dyDescent="0.25">
      <c r="B80" s="25" t="s">
        <v>233</v>
      </c>
      <c r="C80" s="43"/>
      <c r="D80" s="43"/>
      <c r="E80" s="43"/>
      <c r="F80" s="43"/>
      <c r="G80" s="43"/>
      <c r="H80" s="43"/>
      <c r="I80" s="43"/>
    </row>
    <row r="81" spans="1:9" x14ac:dyDescent="0.25">
      <c r="B81" s="25" t="s">
        <v>156</v>
      </c>
      <c r="C81" s="50" t="e">
        <f>C80/$D$70</f>
        <v>#DIV/0!</v>
      </c>
      <c r="D81" s="50" t="e">
        <f t="shared" ref="D81:I81" si="12">D80/$D$70</f>
        <v>#DIV/0!</v>
      </c>
      <c r="E81" s="50" t="e">
        <f t="shared" si="12"/>
        <v>#DIV/0!</v>
      </c>
      <c r="F81" s="50" t="e">
        <f t="shared" si="12"/>
        <v>#DIV/0!</v>
      </c>
      <c r="G81" s="50" t="e">
        <f t="shared" si="12"/>
        <v>#DIV/0!</v>
      </c>
      <c r="H81" s="50" t="e">
        <f t="shared" si="12"/>
        <v>#DIV/0!</v>
      </c>
      <c r="I81" s="50" t="e">
        <f t="shared" si="12"/>
        <v>#DIV/0!</v>
      </c>
    </row>
    <row r="82" spans="1:9" x14ac:dyDescent="0.25">
      <c r="C82" s="53">
        <f>C76*$D$66*C80*365</f>
        <v>0</v>
      </c>
      <c r="D82" s="53">
        <f t="shared" ref="D82:H82" si="13">D76*$D$66*D80*365</f>
        <v>0</v>
      </c>
      <c r="E82" s="53">
        <f t="shared" si="13"/>
        <v>0</v>
      </c>
      <c r="F82" s="53">
        <f t="shared" si="13"/>
        <v>0</v>
      </c>
      <c r="G82" s="53">
        <f t="shared" si="13"/>
        <v>0</v>
      </c>
      <c r="H82" s="53">
        <f t="shared" si="13"/>
        <v>0</v>
      </c>
      <c r="I82" s="53">
        <f>H82*(1+I76)</f>
        <v>0</v>
      </c>
    </row>
    <row r="84" spans="1:9" x14ac:dyDescent="0.25">
      <c r="A84" s="26" t="s">
        <v>229</v>
      </c>
      <c r="C84" s="28">
        <f>D84-1</f>
        <v>-1</v>
      </c>
      <c r="D84" s="28">
        <f>StartYear</f>
        <v>0</v>
      </c>
      <c r="E84" s="28">
        <f>+D84+1</f>
        <v>1</v>
      </c>
      <c r="F84" s="28">
        <f>+E84+1</f>
        <v>2</v>
      </c>
      <c r="G84" s="28">
        <f>+F84+1</f>
        <v>3</v>
      </c>
      <c r="H84" s="28">
        <f>+G84+1</f>
        <v>4</v>
      </c>
      <c r="I84" s="28" t="str">
        <f>(H84+1)&amp;" and after"</f>
        <v>5 and after</v>
      </c>
    </row>
    <row r="85" spans="1:9" x14ac:dyDescent="0.25">
      <c r="B85" s="112" t="s">
        <v>228</v>
      </c>
      <c r="C85" s="30"/>
      <c r="D85" s="30"/>
      <c r="E85" s="30"/>
      <c r="F85" s="30"/>
      <c r="G85" s="30"/>
      <c r="H85" s="30"/>
      <c r="I85" s="43"/>
    </row>
    <row r="86" spans="1:9" x14ac:dyDescent="0.25">
      <c r="B86" s="38" t="s">
        <v>234</v>
      </c>
      <c r="C86" s="50">
        <f>IFERROR((C85*$D$66)/(C$82+C$77),0)</f>
        <v>0</v>
      </c>
      <c r="D86" s="50">
        <f>IFERROR((D85*$D$66)/(D$82+D$77),0)</f>
        <v>0</v>
      </c>
      <c r="E86" s="50">
        <f>IFERROR((E85*$D$66)/(E$82+E$77),0)</f>
        <v>0</v>
      </c>
      <c r="F86" s="50">
        <f>IFERROR((F85*$D$66)/(F$82+F$77),0)</f>
        <v>0</v>
      </c>
      <c r="G86" s="50">
        <f>IFERROR((G85*$D$66)/(G$82+G$77),0)</f>
        <v>0</v>
      </c>
      <c r="H86" s="50">
        <f>IFERROR((H85*$D$66)/(H$82+H$77),0)</f>
        <v>0</v>
      </c>
    </row>
    <row r="87" spans="1:9" x14ac:dyDescent="0.25">
      <c r="B87" s="25" t="s">
        <v>230</v>
      </c>
      <c r="C87" s="30"/>
      <c r="D87" s="30"/>
      <c r="E87" s="30"/>
      <c r="F87" s="30"/>
      <c r="G87" s="30"/>
      <c r="H87" s="30"/>
      <c r="I87" s="43"/>
    </row>
    <row r="88" spans="1:9" x14ac:dyDescent="0.25">
      <c r="B88" s="38" t="s">
        <v>234</v>
      </c>
      <c r="C88" s="50">
        <f>IFERROR((C87)/(C$82+C$77),0)</f>
        <v>0</v>
      </c>
      <c r="D88" s="50">
        <f t="shared" ref="D88:H88" si="14">IFERROR((D87)/(D$82+D$77),0)</f>
        <v>0</v>
      </c>
      <c r="E88" s="50">
        <f t="shared" si="14"/>
        <v>0</v>
      </c>
      <c r="F88" s="50">
        <f t="shared" si="14"/>
        <v>0</v>
      </c>
      <c r="G88" s="50">
        <f t="shared" si="14"/>
        <v>0</v>
      </c>
      <c r="H88" s="50">
        <f t="shared" si="14"/>
        <v>0</v>
      </c>
    </row>
    <row r="89" spans="1:9" x14ac:dyDescent="0.25">
      <c r="B89" s="25" t="s">
        <v>231</v>
      </c>
      <c r="C89" s="30"/>
      <c r="D89" s="30"/>
      <c r="E89" s="30"/>
      <c r="F89" s="30"/>
      <c r="G89" s="30"/>
      <c r="H89" s="30"/>
      <c r="I89" s="43"/>
    </row>
    <row r="90" spans="1:9" x14ac:dyDescent="0.25">
      <c r="B90" s="38" t="s">
        <v>234</v>
      </c>
      <c r="C90" s="50">
        <f>IFERROR((C89)/(C$82+C$77),0)</f>
        <v>0</v>
      </c>
      <c r="D90" s="50">
        <f t="shared" ref="D90:H90" si="15">IFERROR((D89)/(D$82+D$77),0)</f>
        <v>0</v>
      </c>
      <c r="E90" s="50">
        <f t="shared" si="15"/>
        <v>0</v>
      </c>
      <c r="F90" s="50">
        <f t="shared" si="15"/>
        <v>0</v>
      </c>
      <c r="G90" s="50">
        <f t="shared" si="15"/>
        <v>0</v>
      </c>
      <c r="H90" s="50">
        <f t="shared" si="15"/>
        <v>0</v>
      </c>
    </row>
    <row r="91" spans="1:9" x14ac:dyDescent="0.25">
      <c r="B91" s="25" t="s">
        <v>232</v>
      </c>
      <c r="C91" s="30"/>
      <c r="D91" s="30"/>
      <c r="E91" s="30"/>
      <c r="F91" s="30"/>
      <c r="G91" s="30"/>
      <c r="H91" s="30"/>
      <c r="I91" s="43"/>
    </row>
    <row r="92" spans="1:9" x14ac:dyDescent="0.25">
      <c r="B92" s="38" t="s">
        <v>234</v>
      </c>
      <c r="C92" s="50">
        <f>IFERROR((C91)/(C$82+C$77),0)</f>
        <v>0</v>
      </c>
      <c r="D92" s="50">
        <f t="shared" ref="D92:G92" si="16">IFERROR((D91)/(D$82+D$77),0)</f>
        <v>0</v>
      </c>
      <c r="E92" s="50">
        <f t="shared" si="16"/>
        <v>0</v>
      </c>
      <c r="F92" s="50">
        <f t="shared" si="16"/>
        <v>0</v>
      </c>
      <c r="G92" s="50">
        <f t="shared" si="16"/>
        <v>0</v>
      </c>
      <c r="H92" s="50">
        <f>IFERROR((H91)/(H$82+H$77),0)</f>
        <v>0</v>
      </c>
    </row>
    <row r="94" spans="1:9" x14ac:dyDescent="0.25">
      <c r="B94" s="25" t="s">
        <v>235</v>
      </c>
      <c r="C94" s="72">
        <f>+C86+C88+C90+C92</f>
        <v>0</v>
      </c>
      <c r="D94" s="72">
        <f t="shared" ref="D94:H94" si="17">+D86+D88+D90+D92</f>
        <v>0</v>
      </c>
      <c r="E94" s="72">
        <f t="shared" si="17"/>
        <v>0</v>
      </c>
      <c r="F94" s="72">
        <f t="shared" si="17"/>
        <v>0</v>
      </c>
      <c r="G94" s="72">
        <f t="shared" si="17"/>
        <v>0</v>
      </c>
      <c r="H94" s="72">
        <f t="shared" si="17"/>
        <v>0</v>
      </c>
    </row>
    <row r="96" spans="1:9" x14ac:dyDescent="0.25">
      <c r="A96" s="26" t="s">
        <v>209</v>
      </c>
      <c r="C96" s="49" t="s">
        <v>215</v>
      </c>
    </row>
    <row r="97" spans="2:3" x14ac:dyDescent="0.25">
      <c r="B97" s="25" t="s">
        <v>211</v>
      </c>
      <c r="C97" s="39"/>
    </row>
    <row r="98" spans="2:3" x14ac:dyDescent="0.25">
      <c r="B98" s="25" t="s">
        <v>437</v>
      </c>
      <c r="C98" s="30"/>
    </row>
    <row r="99" spans="2:3" x14ac:dyDescent="0.25">
      <c r="B99" s="25" t="s">
        <v>210</v>
      </c>
      <c r="C99" s="61">
        <f>IFERROR(C98/C97,0)</f>
        <v>0</v>
      </c>
    </row>
    <row r="100" spans="2:3" x14ac:dyDescent="0.25">
      <c r="B100" s="25" t="s">
        <v>213</v>
      </c>
      <c r="C100" s="9" t="s">
        <v>74</v>
      </c>
    </row>
  </sheetData>
  <conditionalFormatting sqref="C5">
    <cfRule type="expression" dxfId="31" priority="1">
      <formula>$C$4="No"</formula>
    </cfRule>
  </conditionalFormatting>
  <conditionalFormatting sqref="C33:I33">
    <cfRule type="expression" dxfId="30" priority="10">
      <formula>C33&gt;$C$15</formula>
    </cfRule>
  </conditionalFormatting>
  <conditionalFormatting sqref="C34:I34">
    <cfRule type="expression" dxfId="29" priority="9">
      <formula>C34&gt;$D$15</formula>
    </cfRule>
  </conditionalFormatting>
  <conditionalFormatting sqref="C35:I35">
    <cfRule type="expression" dxfId="28" priority="8">
      <formula>C35&gt;$E$15</formula>
    </cfRule>
  </conditionalFormatting>
  <conditionalFormatting sqref="C36:I36">
    <cfRule type="expression" dxfId="27" priority="7">
      <formula>C36&gt;$F$15</formula>
    </cfRule>
  </conditionalFormatting>
  <conditionalFormatting sqref="D63">
    <cfRule type="expression" dxfId="26" priority="2">
      <formula>$C$4="No"</formula>
    </cfRule>
  </conditionalFormatting>
  <dataValidations disablePrompts="1" count="2">
    <dataValidation type="list" allowBlank="1" showInputMessage="1" showErrorMessage="1" sqref="C53 C7 C100" xr:uid="{0450EED8-EBA2-4179-90B4-7A7C10777201}">
      <formula1>"Yes, No"</formula1>
    </dataValidation>
    <dataValidation type="list" allowBlank="1" showInputMessage="1" showErrorMessage="1" sqref="D63 C5" xr:uid="{0D11EE02-3A18-4C8B-8D33-EDC5CEF8DA83}">
      <formula1>Months</formula1>
    </dataValidation>
  </dataValidation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2600E-77CE-4E64-89D7-6980D4201431}">
  <sheetPr>
    <tabColor theme="7" tint="0.79998168889431442"/>
  </sheetPr>
  <dimension ref="A1:I112"/>
  <sheetViews>
    <sheetView topLeftCell="A16" workbookViewId="0">
      <selection activeCell="D84" sqref="D84"/>
    </sheetView>
  </sheetViews>
  <sheetFormatPr defaultColWidth="9.140625" defaultRowHeight="15.75" x14ac:dyDescent="0.25"/>
  <cols>
    <col min="1" max="1" width="2.7109375" style="26" customWidth="1"/>
    <col min="2" max="2" width="49.42578125" style="25" customWidth="1"/>
    <col min="3" max="9" width="16.7109375" style="25" customWidth="1"/>
    <col min="10" max="16384" width="9.140625" style="25"/>
  </cols>
  <sheetData>
    <row r="1" spans="1:9" s="37" customFormat="1" ht="18.75" x14ac:dyDescent="0.3">
      <c r="A1" s="27" t="s">
        <v>236</v>
      </c>
    </row>
    <row r="3" spans="1:9" x14ac:dyDescent="0.25">
      <c r="A3" s="47" t="s">
        <v>237</v>
      </c>
      <c r="B3" s="48"/>
      <c r="C3" s="48"/>
      <c r="D3" s="48"/>
      <c r="E3" s="48"/>
      <c r="F3" s="48"/>
      <c r="G3" s="48"/>
      <c r="H3" s="48"/>
      <c r="I3" s="48"/>
    </row>
    <row r="4" spans="1:9" x14ac:dyDescent="0.25">
      <c r="B4" s="1" t="s">
        <v>98</v>
      </c>
      <c r="C4" s="9"/>
      <c r="D4" s="1"/>
    </row>
    <row r="5" spans="1:9" x14ac:dyDescent="0.25">
      <c r="B5" s="1" t="s">
        <v>99</v>
      </c>
      <c r="C5" s="55"/>
      <c r="D5" s="1"/>
      <c r="E5" s="98">
        <f>_xlfn.XLOOKUP(C5,Months,DropDowns!$R$4:$R$15,1)</f>
        <v>1</v>
      </c>
    </row>
    <row r="6" spans="1:9" x14ac:dyDescent="0.25">
      <c r="B6" s="1" t="s">
        <v>100</v>
      </c>
      <c r="C6" s="9"/>
      <c r="D6" s="1"/>
    </row>
    <row r="7" spans="1:9" x14ac:dyDescent="0.25">
      <c r="B7" s="1" t="s">
        <v>192</v>
      </c>
      <c r="C7" s="9"/>
      <c r="D7" s="1"/>
    </row>
    <row r="9" spans="1:9" s="36" customFormat="1" x14ac:dyDescent="0.25">
      <c r="A9" s="26" t="s">
        <v>193</v>
      </c>
      <c r="C9" s="49" t="s">
        <v>239</v>
      </c>
      <c r="D9" s="49" t="s">
        <v>240</v>
      </c>
      <c r="E9" s="49" t="s">
        <v>241</v>
      </c>
      <c r="F9" s="49" t="s">
        <v>242</v>
      </c>
      <c r="G9" s="49" t="s">
        <v>202</v>
      </c>
    </row>
    <row r="10" spans="1:9" x14ac:dyDescent="0.25">
      <c r="B10" s="38" t="s">
        <v>238</v>
      </c>
      <c r="C10" s="39"/>
      <c r="D10" s="39"/>
      <c r="E10" s="39"/>
      <c r="F10" s="39"/>
      <c r="G10" s="42">
        <f>SUM(C10:F10)</f>
        <v>0</v>
      </c>
    </row>
    <row r="11" spans="1:9" x14ac:dyDescent="0.25">
      <c r="B11" s="38" t="s">
        <v>199</v>
      </c>
      <c r="C11" s="64"/>
      <c r="D11" s="30"/>
      <c r="E11" s="30"/>
      <c r="F11" s="30"/>
      <c r="G11" s="42">
        <f>IFERROR(SUMPRODUCT(#REF!,C11:F11)/#REF!,0)</f>
        <v>0</v>
      </c>
    </row>
    <row r="12" spans="1:9" x14ac:dyDescent="0.25">
      <c r="B12" s="38" t="s">
        <v>200</v>
      </c>
      <c r="C12" s="64"/>
      <c r="D12" s="30"/>
      <c r="E12" s="30"/>
      <c r="F12" s="30"/>
      <c r="G12" s="42">
        <f>IFERROR(SUMPRODUCT(#REF!,C12:F12)/#REF!,0)</f>
        <v>0</v>
      </c>
    </row>
    <row r="13" spans="1:9" x14ac:dyDescent="0.25">
      <c r="B13" s="38" t="s">
        <v>201</v>
      </c>
      <c r="C13" s="29">
        <f>+C11+C12</f>
        <v>0</v>
      </c>
      <c r="D13" s="29">
        <f t="shared" ref="D13:F13" si="0">+D11+D12</f>
        <v>0</v>
      </c>
      <c r="E13" s="29">
        <f t="shared" si="0"/>
        <v>0</v>
      </c>
      <c r="F13" s="29">
        <f t="shared" si="0"/>
        <v>0</v>
      </c>
      <c r="G13" s="29" t="str">
        <f t="shared" ref="G13" si="1">IFERROR(G11/G10,"")</f>
        <v/>
      </c>
    </row>
    <row r="14" spans="1:9" x14ac:dyDescent="0.25">
      <c r="B14" s="38" t="s">
        <v>139</v>
      </c>
      <c r="C14" s="40">
        <f>C10*C13</f>
        <v>0</v>
      </c>
      <c r="D14" s="40">
        <f t="shared" ref="D14:F14" si="2">D10*D13</f>
        <v>0</v>
      </c>
      <c r="E14" s="40">
        <f t="shared" si="2"/>
        <v>0</v>
      </c>
      <c r="F14" s="40">
        <f t="shared" si="2"/>
        <v>0</v>
      </c>
      <c r="G14" s="40">
        <f t="shared" ref="G14:G16" si="3">SUM(C14:F14)</f>
        <v>0</v>
      </c>
    </row>
    <row r="15" spans="1:9" x14ac:dyDescent="0.25">
      <c r="B15" s="38" t="s">
        <v>140</v>
      </c>
      <c r="C15" s="43"/>
      <c r="D15" s="43"/>
      <c r="E15" s="43"/>
      <c r="F15" s="43"/>
      <c r="G15" s="51">
        <f>IFERROR(1-(G16/G14),0)</f>
        <v>0</v>
      </c>
    </row>
    <row r="16" spans="1:9" x14ac:dyDescent="0.25">
      <c r="B16" s="38" t="s">
        <v>141</v>
      </c>
      <c r="C16" s="69">
        <f>C14*(1-C15)</f>
        <v>0</v>
      </c>
      <c r="D16" s="69">
        <f t="shared" ref="D16:F16" si="4">D14*(1-D15)</f>
        <v>0</v>
      </c>
      <c r="E16" s="69">
        <f t="shared" si="4"/>
        <v>0</v>
      </c>
      <c r="F16" s="69">
        <f t="shared" si="4"/>
        <v>0</v>
      </c>
      <c r="G16" s="70">
        <f t="shared" si="3"/>
        <v>0</v>
      </c>
    </row>
    <row r="17" spans="1:9" x14ac:dyDescent="0.25">
      <c r="C17" s="56"/>
    </row>
    <row r="18" spans="1:9" x14ac:dyDescent="0.25">
      <c r="A18" s="26" t="s">
        <v>154</v>
      </c>
      <c r="C18" s="28"/>
      <c r="D18" s="28">
        <f>StartYear</f>
        <v>0</v>
      </c>
      <c r="E18" s="28">
        <f>+D18+1</f>
        <v>1</v>
      </c>
      <c r="F18" s="28">
        <f>+E18+1</f>
        <v>2</v>
      </c>
      <c r="G18" s="28">
        <f>+F18+1</f>
        <v>3</v>
      </c>
      <c r="H18" s="28">
        <f>+G18+1</f>
        <v>4</v>
      </c>
      <c r="I18" s="28" t="str">
        <f>(H18+1)&amp;" and after"</f>
        <v>5 and after</v>
      </c>
    </row>
    <row r="19" spans="1:9" x14ac:dyDescent="0.25">
      <c r="B19" s="25" t="s">
        <v>243</v>
      </c>
      <c r="C19" s="65">
        <f>C11</f>
        <v>0</v>
      </c>
      <c r="D19" s="66">
        <f>C19*1.02</f>
        <v>0</v>
      </c>
      <c r="E19" s="66">
        <f t="shared" ref="E19:H22" si="5">D19*1.02</f>
        <v>0</v>
      </c>
      <c r="F19" s="66">
        <f t="shared" si="5"/>
        <v>0</v>
      </c>
      <c r="G19" s="66">
        <f t="shared" si="5"/>
        <v>0</v>
      </c>
      <c r="H19" s="66">
        <f t="shared" si="5"/>
        <v>0</v>
      </c>
      <c r="I19" s="43">
        <v>0.02</v>
      </c>
    </row>
    <row r="20" spans="1:9" x14ac:dyDescent="0.25">
      <c r="B20" s="25" t="s">
        <v>244</v>
      </c>
      <c r="C20" s="65">
        <f>D11</f>
        <v>0</v>
      </c>
      <c r="D20" s="66">
        <f>C20*1.02</f>
        <v>0</v>
      </c>
      <c r="E20" s="66">
        <f t="shared" si="5"/>
        <v>0</v>
      </c>
      <c r="F20" s="66">
        <f t="shared" si="5"/>
        <v>0</v>
      </c>
      <c r="G20" s="66">
        <f t="shared" si="5"/>
        <v>0</v>
      </c>
      <c r="H20" s="66">
        <f t="shared" si="5"/>
        <v>0</v>
      </c>
    </row>
    <row r="21" spans="1:9" x14ac:dyDescent="0.25">
      <c r="B21" s="25" t="s">
        <v>245</v>
      </c>
      <c r="C21" s="65">
        <f>E11</f>
        <v>0</v>
      </c>
      <c r="D21" s="66">
        <f>C21*1.02</f>
        <v>0</v>
      </c>
      <c r="E21" s="66">
        <f t="shared" si="5"/>
        <v>0</v>
      </c>
      <c r="F21" s="66">
        <f t="shared" si="5"/>
        <v>0</v>
      </c>
      <c r="G21" s="66">
        <f t="shared" si="5"/>
        <v>0</v>
      </c>
      <c r="H21" s="66">
        <f t="shared" si="5"/>
        <v>0</v>
      </c>
    </row>
    <row r="22" spans="1:9" x14ac:dyDescent="0.25">
      <c r="B22" s="25" t="s">
        <v>246</v>
      </c>
      <c r="C22" s="65">
        <f>F11</f>
        <v>0</v>
      </c>
      <c r="D22" s="66">
        <f>C22*1.02</f>
        <v>0</v>
      </c>
      <c r="E22" s="66">
        <f t="shared" si="5"/>
        <v>0</v>
      </c>
      <c r="F22" s="66">
        <f t="shared" si="5"/>
        <v>0</v>
      </c>
      <c r="G22" s="66">
        <f t="shared" si="5"/>
        <v>0</v>
      </c>
      <c r="H22" s="66">
        <f t="shared" si="5"/>
        <v>0</v>
      </c>
    </row>
    <row r="23" spans="1:9" x14ac:dyDescent="0.25">
      <c r="B23" s="25" t="s">
        <v>432</v>
      </c>
      <c r="C23" s="91">
        <f>IFERROR(($C$10*C19+$D$10*C20+$E$10*C21+$F$10*C22)/$G$10,0)</f>
        <v>0</v>
      </c>
      <c r="D23" s="91">
        <f t="shared" ref="D23:H23" si="6">IFERROR(($C$10*D19+$D$10*D20+$E$10*D21+$F$10*D22)/$G$10,0)</f>
        <v>0</v>
      </c>
      <c r="E23" s="91">
        <f t="shared" si="6"/>
        <v>0</v>
      </c>
      <c r="F23" s="91">
        <f t="shared" si="6"/>
        <v>0</v>
      </c>
      <c r="G23" s="91">
        <f t="shared" si="6"/>
        <v>0</v>
      </c>
      <c r="H23" s="91">
        <f t="shared" si="6"/>
        <v>0</v>
      </c>
    </row>
    <row r="25" spans="1:9" x14ac:dyDescent="0.25">
      <c r="A25" s="26" t="s">
        <v>434</v>
      </c>
      <c r="C25" s="28"/>
      <c r="D25" s="28">
        <f>StartYear</f>
        <v>0</v>
      </c>
      <c r="E25" s="28">
        <f>+D25+1</f>
        <v>1</v>
      </c>
      <c r="F25" s="28">
        <f>+E25+1</f>
        <v>2</v>
      </c>
      <c r="G25" s="28">
        <f>+F25+1</f>
        <v>3</v>
      </c>
      <c r="H25" s="28">
        <f>+G25+1</f>
        <v>4</v>
      </c>
      <c r="I25" s="28" t="str">
        <f>(H25+1)&amp;" and after"</f>
        <v>5 and after</v>
      </c>
    </row>
    <row r="26" spans="1:9" x14ac:dyDescent="0.25">
      <c r="B26" s="25" t="s">
        <v>243</v>
      </c>
      <c r="C26" s="65">
        <f>C12</f>
        <v>0</v>
      </c>
      <c r="D26" s="66">
        <f>C26*1.03</f>
        <v>0</v>
      </c>
      <c r="E26" s="66">
        <f>D26*1.03</f>
        <v>0</v>
      </c>
      <c r="F26" s="66">
        <f>E26*1.03</f>
        <v>0</v>
      </c>
      <c r="G26" s="66">
        <f>F26*1.03</f>
        <v>0</v>
      </c>
      <c r="H26" s="66">
        <f>G26*1.03</f>
        <v>0</v>
      </c>
      <c r="I26" s="43">
        <v>0.03</v>
      </c>
    </row>
    <row r="27" spans="1:9" x14ac:dyDescent="0.25">
      <c r="B27" s="25" t="s">
        <v>244</v>
      </c>
      <c r="C27" s="65">
        <f>D12</f>
        <v>0</v>
      </c>
      <c r="D27" s="66">
        <f t="shared" ref="D27:H29" si="7">C27*1.03</f>
        <v>0</v>
      </c>
      <c r="E27" s="66">
        <f t="shared" si="7"/>
        <v>0</v>
      </c>
      <c r="F27" s="66">
        <f t="shared" si="7"/>
        <v>0</v>
      </c>
      <c r="G27" s="66">
        <f t="shared" si="7"/>
        <v>0</v>
      </c>
      <c r="H27" s="66">
        <f t="shared" si="7"/>
        <v>0</v>
      </c>
    </row>
    <row r="28" spans="1:9" x14ac:dyDescent="0.25">
      <c r="B28" s="25" t="s">
        <v>245</v>
      </c>
      <c r="C28" s="65">
        <f>E12</f>
        <v>0</v>
      </c>
      <c r="D28" s="66">
        <f t="shared" si="7"/>
        <v>0</v>
      </c>
      <c r="E28" s="66">
        <f t="shared" si="7"/>
        <v>0</v>
      </c>
      <c r="F28" s="66">
        <f t="shared" si="7"/>
        <v>0</v>
      </c>
      <c r="G28" s="66">
        <f t="shared" si="7"/>
        <v>0</v>
      </c>
      <c r="H28" s="66">
        <f t="shared" si="7"/>
        <v>0</v>
      </c>
    </row>
    <row r="29" spans="1:9" x14ac:dyDescent="0.25">
      <c r="B29" s="25" t="s">
        <v>246</v>
      </c>
      <c r="C29" s="65">
        <f>F12</f>
        <v>0</v>
      </c>
      <c r="D29" s="66">
        <f t="shared" si="7"/>
        <v>0</v>
      </c>
      <c r="E29" s="66">
        <f t="shared" si="7"/>
        <v>0</v>
      </c>
      <c r="F29" s="66">
        <f t="shared" si="7"/>
        <v>0</v>
      </c>
      <c r="G29" s="66">
        <f t="shared" si="7"/>
        <v>0</v>
      </c>
      <c r="H29" s="66">
        <f t="shared" si="7"/>
        <v>0</v>
      </c>
    </row>
    <row r="30" spans="1:9" x14ac:dyDescent="0.25">
      <c r="B30" s="25" t="s">
        <v>435</v>
      </c>
      <c r="C30" s="91">
        <f>IFERROR(($C$10*C26+$D$10*C27+$E$10*C28+$F$10*C29)/$G$10,0)</f>
        <v>0</v>
      </c>
      <c r="D30" s="91">
        <f t="shared" ref="D30:H30" si="8">IFERROR(($C$10*D26+$D$10*D27+$E$10*D28+$F$10*D29)/$G$10,0)</f>
        <v>0</v>
      </c>
      <c r="E30" s="91">
        <f t="shared" si="8"/>
        <v>0</v>
      </c>
      <c r="F30" s="91">
        <f t="shared" si="8"/>
        <v>0</v>
      </c>
      <c r="G30" s="91">
        <f t="shared" si="8"/>
        <v>0</v>
      </c>
      <c r="H30" s="91">
        <f t="shared" si="8"/>
        <v>0</v>
      </c>
    </row>
    <row r="32" spans="1:9" x14ac:dyDescent="0.25">
      <c r="A32" s="26" t="s">
        <v>155</v>
      </c>
      <c r="C32" s="28">
        <f>D32-1</f>
        <v>-1</v>
      </c>
      <c r="D32" s="28">
        <f>StartYear</f>
        <v>0</v>
      </c>
      <c r="E32" s="28">
        <f>+D32+1</f>
        <v>1</v>
      </c>
      <c r="F32" s="28">
        <f>+E32+1</f>
        <v>2</v>
      </c>
      <c r="G32" s="28">
        <f>+F32+1</f>
        <v>3</v>
      </c>
      <c r="H32" s="28">
        <f>+G32+1</f>
        <v>4</v>
      </c>
      <c r="I32" s="28" t="str">
        <f>(H32+1)&amp;" and after"</f>
        <v>5 and after</v>
      </c>
    </row>
    <row r="33" spans="1:9" x14ac:dyDescent="0.25">
      <c r="B33" s="25" t="s">
        <v>243</v>
      </c>
      <c r="C33" s="43"/>
      <c r="D33" s="43"/>
      <c r="E33" s="43"/>
      <c r="F33" s="43"/>
      <c r="G33" s="43"/>
      <c r="H33" s="43"/>
      <c r="I33" s="43"/>
    </row>
    <row r="34" spans="1:9" x14ac:dyDescent="0.25">
      <c r="B34" s="25" t="s">
        <v>244</v>
      </c>
      <c r="C34" s="43"/>
      <c r="D34" s="43"/>
      <c r="E34" s="43"/>
      <c r="F34" s="43"/>
      <c r="G34" s="43"/>
      <c r="H34" s="43"/>
      <c r="I34" s="43"/>
    </row>
    <row r="35" spans="1:9" x14ac:dyDescent="0.25">
      <c r="B35" s="25" t="s">
        <v>245</v>
      </c>
      <c r="C35" s="43"/>
      <c r="D35" s="43"/>
      <c r="E35" s="43"/>
      <c r="F35" s="43"/>
      <c r="G35" s="43"/>
      <c r="H35" s="43"/>
      <c r="I35" s="43"/>
    </row>
    <row r="36" spans="1:9" x14ac:dyDescent="0.25">
      <c r="B36" s="25" t="s">
        <v>246</v>
      </c>
      <c r="C36" s="43"/>
      <c r="D36" s="43"/>
      <c r="E36" s="43"/>
      <c r="F36" s="43"/>
      <c r="G36" s="43"/>
      <c r="H36" s="43"/>
      <c r="I36" s="43"/>
    </row>
    <row r="37" spans="1:9" x14ac:dyDescent="0.25">
      <c r="B37" s="25" t="s">
        <v>157</v>
      </c>
      <c r="C37" s="50">
        <f>IFERROR(((C33*$C$14)+(C34*$D$14)+(C35*$E$14)+(C36*$F$14))/$G$14,0)</f>
        <v>0</v>
      </c>
      <c r="D37" s="50">
        <f t="shared" ref="D37:I37" si="9">IFERROR(((D33*$C$14)+(D34*$D$14)+(D35*$E$14)+(D36*$F$14))/$G$14,0)</f>
        <v>0</v>
      </c>
      <c r="E37" s="50">
        <f t="shared" si="9"/>
        <v>0</v>
      </c>
      <c r="F37" s="50">
        <f t="shared" si="9"/>
        <v>0</v>
      </c>
      <c r="G37" s="50">
        <f t="shared" si="9"/>
        <v>0</v>
      </c>
      <c r="H37" s="50">
        <f t="shared" si="9"/>
        <v>0</v>
      </c>
      <c r="I37" s="50">
        <f t="shared" si="9"/>
        <v>0</v>
      </c>
    </row>
    <row r="38" spans="1:9" x14ac:dyDescent="0.25">
      <c r="B38" s="25" t="s">
        <v>156</v>
      </c>
      <c r="C38" s="50">
        <f>IFERROR((1-C37)/(1-$G$15),0)</f>
        <v>1</v>
      </c>
      <c r="D38" s="50">
        <f t="shared" ref="D38:I38" si="10">IFERROR((1-D37)/(1-$G$15),0)</f>
        <v>1</v>
      </c>
      <c r="E38" s="50">
        <f t="shared" si="10"/>
        <v>1</v>
      </c>
      <c r="F38" s="50">
        <f t="shared" si="10"/>
        <v>1</v>
      </c>
      <c r="G38" s="50">
        <f t="shared" si="10"/>
        <v>1</v>
      </c>
      <c r="H38" s="50">
        <f t="shared" si="10"/>
        <v>1</v>
      </c>
      <c r="I38" s="50">
        <f t="shared" si="10"/>
        <v>1</v>
      </c>
    </row>
    <row r="39" spans="1:9" x14ac:dyDescent="0.25">
      <c r="B39" s="25" t="s">
        <v>166</v>
      </c>
      <c r="C39" s="68">
        <f>((C19+C26)*$C$10*(1-C33))+((C20+C27)*$D$10*(1-C34))+((C21+C28)*$E$10*(1-C35))+((C22+C29)*$F$10*(1-C36))</f>
        <v>0</v>
      </c>
      <c r="D39" s="68">
        <f t="shared" ref="D39:H39" si="11">((D19+D26)*$C$10*(1-D33))+((D20+D27)*$D$10*(1-D34))+((D21+D28)*$E$10*(1-D35))+((D22+D29)*$F$10*(1-D36))</f>
        <v>0</v>
      </c>
      <c r="E39" s="68">
        <f t="shared" si="11"/>
        <v>0</v>
      </c>
      <c r="F39" s="68">
        <f t="shared" si="11"/>
        <v>0</v>
      </c>
      <c r="G39" s="68">
        <f t="shared" si="11"/>
        <v>0</v>
      </c>
      <c r="H39" s="68">
        <f t="shared" si="11"/>
        <v>0</v>
      </c>
      <c r="I39" s="53"/>
    </row>
    <row r="41" spans="1:9" x14ac:dyDescent="0.25">
      <c r="A41" s="26" t="s">
        <v>208</v>
      </c>
      <c r="C41" s="28">
        <f>D41-1</f>
        <v>-1</v>
      </c>
      <c r="D41" s="28">
        <f>StartYear</f>
        <v>0</v>
      </c>
      <c r="E41" s="28">
        <f>+D41+1</f>
        <v>1</v>
      </c>
      <c r="F41" s="28">
        <f>+E41+1</f>
        <v>2</v>
      </c>
      <c r="G41" s="28">
        <f>+F41+1</f>
        <v>3</v>
      </c>
      <c r="H41" s="28">
        <f>+G41+1</f>
        <v>4</v>
      </c>
      <c r="I41" s="28" t="str">
        <f>(H41+1)&amp;" and after"</f>
        <v>5 and after</v>
      </c>
    </row>
    <row r="42" spans="1:9" x14ac:dyDescent="0.25">
      <c r="B42" s="25" t="str">
        <f>"Oper. expenses per sq ft - "&amp;B33</f>
        <v>Oper. expenses per sq ft - Office #1:</v>
      </c>
      <c r="C42" s="64"/>
      <c r="D42" s="64"/>
      <c r="E42" s="64">
        <f>D42*1.02</f>
        <v>0</v>
      </c>
      <c r="F42" s="64">
        <f>E42*1.02</f>
        <v>0</v>
      </c>
      <c r="G42" s="64">
        <f>F42*1.02</f>
        <v>0</v>
      </c>
      <c r="H42" s="64">
        <f>G42*1.02</f>
        <v>0</v>
      </c>
      <c r="I42" s="43">
        <v>0.02</v>
      </c>
    </row>
    <row r="43" spans="1:9" x14ac:dyDescent="0.25">
      <c r="B43" s="25" t="str">
        <f>"Oper. expenses per sq ft - "&amp;B34</f>
        <v>Oper. expenses per sq ft - Office #2:</v>
      </c>
      <c r="C43" s="64"/>
      <c r="D43" s="64"/>
      <c r="E43" s="64"/>
      <c r="F43" s="64"/>
      <c r="G43" s="64"/>
      <c r="H43" s="64"/>
    </row>
    <row r="44" spans="1:9" x14ac:dyDescent="0.25">
      <c r="B44" s="25" t="str">
        <f>"Oper. expenses per sq ft - "&amp;B35</f>
        <v>Oper. expenses per sq ft - Office #3:</v>
      </c>
      <c r="C44" s="64"/>
      <c r="D44" s="64"/>
      <c r="E44" s="64"/>
      <c r="F44" s="64"/>
      <c r="G44" s="64"/>
      <c r="H44" s="64"/>
    </row>
    <row r="45" spans="1:9" x14ac:dyDescent="0.25">
      <c r="B45" s="25" t="str">
        <f>"Oper. expenses per sq ft - "&amp;B36</f>
        <v>Oper. expenses per sq ft - Office #4:</v>
      </c>
      <c r="C45" s="64"/>
      <c r="D45" s="64"/>
      <c r="E45" s="64"/>
      <c r="F45" s="64"/>
      <c r="G45" s="64"/>
      <c r="H45" s="64"/>
    </row>
    <row r="46" spans="1:9" x14ac:dyDescent="0.25">
      <c r="B46" s="25" t="s">
        <v>163</v>
      </c>
      <c r="C46" s="67">
        <f>(C42*$C$10*(1-0))+(C43*$D$10*(1-0))+(C44*$E$10*(1-0))+(C45*$F$10*(1-0))</f>
        <v>0</v>
      </c>
      <c r="D46" s="67">
        <f t="shared" ref="D46:H46" si="12">(D42*$C$10*(1-0))+(D43*$D$10*(1-0))+(D44*$E$10*(1-0))+(D45*$F$10*(1-0))</f>
        <v>0</v>
      </c>
      <c r="E46" s="67">
        <f t="shared" si="12"/>
        <v>0</v>
      </c>
      <c r="F46" s="67">
        <f t="shared" si="12"/>
        <v>0</v>
      </c>
      <c r="G46" s="67">
        <f t="shared" si="12"/>
        <v>0</v>
      </c>
      <c r="H46" s="67">
        <f t="shared" si="12"/>
        <v>0</v>
      </c>
    </row>
    <row r="47" spans="1:9" x14ac:dyDescent="0.25">
      <c r="B47" s="25" t="s">
        <v>164</v>
      </c>
      <c r="C47" s="50">
        <f>IFERROR(C46/C39,0)</f>
        <v>0</v>
      </c>
      <c r="D47" s="50">
        <f t="shared" ref="D47:H47" si="13">IFERROR(D46/D39,0)</f>
        <v>0</v>
      </c>
      <c r="E47" s="50">
        <f t="shared" si="13"/>
        <v>0</v>
      </c>
      <c r="F47" s="50">
        <f t="shared" si="13"/>
        <v>0</v>
      </c>
      <c r="G47" s="50">
        <f t="shared" si="13"/>
        <v>0</v>
      </c>
      <c r="H47" s="50">
        <f t="shared" si="13"/>
        <v>0</v>
      </c>
    </row>
    <row r="49" spans="1:9" x14ac:dyDescent="0.25">
      <c r="A49" s="26" t="s">
        <v>209</v>
      </c>
      <c r="C49" s="49" t="s">
        <v>239</v>
      </c>
      <c r="D49" s="49" t="s">
        <v>240</v>
      </c>
      <c r="E49" s="49" t="s">
        <v>241</v>
      </c>
      <c r="F49" s="49" t="s">
        <v>242</v>
      </c>
      <c r="G49" s="49" t="s">
        <v>202</v>
      </c>
    </row>
    <row r="50" spans="1:9" x14ac:dyDescent="0.25">
      <c r="B50" s="25" t="s">
        <v>247</v>
      </c>
      <c r="C50" s="39"/>
      <c r="D50" s="39"/>
      <c r="E50" s="39"/>
      <c r="F50" s="39"/>
      <c r="G50" s="58">
        <f>SUM(C50:F50)</f>
        <v>0</v>
      </c>
    </row>
    <row r="51" spans="1:9" x14ac:dyDescent="0.25">
      <c r="B51" s="25" t="s">
        <v>248</v>
      </c>
      <c r="C51" s="30"/>
      <c r="D51" s="30"/>
      <c r="E51" s="30"/>
      <c r="F51" s="30"/>
      <c r="G51" s="57">
        <f>SUM(C51:F51)</f>
        <v>0</v>
      </c>
    </row>
    <row r="52" spans="1:9" x14ac:dyDescent="0.25">
      <c r="B52" s="25" t="s">
        <v>210</v>
      </c>
      <c r="C52" s="61">
        <f>IFERROR(C51/C50,0)</f>
        <v>0</v>
      </c>
      <c r="D52" s="61">
        <f t="shared" ref="D52:G52" si="14">IFERROR(D51/D50,0)</f>
        <v>0</v>
      </c>
      <c r="E52" s="61">
        <f t="shared" si="14"/>
        <v>0</v>
      </c>
      <c r="F52" s="61">
        <f t="shared" si="14"/>
        <v>0</v>
      </c>
      <c r="G52" s="61">
        <f t="shared" si="14"/>
        <v>0</v>
      </c>
    </row>
    <row r="53" spans="1:9" x14ac:dyDescent="0.25">
      <c r="B53" s="25" t="s">
        <v>213</v>
      </c>
      <c r="C53" s="9"/>
    </row>
    <row r="56" spans="1:9" x14ac:dyDescent="0.25">
      <c r="A56" s="47" t="s">
        <v>249</v>
      </c>
      <c r="B56" s="48"/>
      <c r="C56" s="48"/>
      <c r="D56" s="48"/>
      <c r="E56" s="48"/>
      <c r="F56" s="48"/>
      <c r="G56" s="48"/>
      <c r="H56" s="48"/>
      <c r="I56" s="48"/>
    </row>
    <row r="57" spans="1:9" x14ac:dyDescent="0.25">
      <c r="B57" s="1" t="s">
        <v>98</v>
      </c>
      <c r="C57" s="9"/>
      <c r="D57" s="1"/>
    </row>
    <row r="58" spans="1:9" x14ac:dyDescent="0.25">
      <c r="B58" s="1" t="s">
        <v>99</v>
      </c>
      <c r="C58" s="55"/>
      <c r="D58" s="1"/>
      <c r="E58" s="98">
        <f>_xlfn.XLOOKUP(C58,Months,DropDowns!$R$4:$R$15,1)</f>
        <v>1</v>
      </c>
    </row>
    <row r="59" spans="1:9" x14ac:dyDescent="0.25">
      <c r="B59" s="1" t="s">
        <v>100</v>
      </c>
      <c r="C59" s="9"/>
      <c r="D59" s="1"/>
    </row>
    <row r="60" spans="1:9" x14ac:dyDescent="0.25">
      <c r="B60" s="1" t="s">
        <v>192</v>
      </c>
      <c r="C60" s="9"/>
      <c r="D60" s="1"/>
    </row>
    <row r="62" spans="1:9" x14ac:dyDescent="0.25">
      <c r="A62" s="26" t="s">
        <v>193</v>
      </c>
      <c r="B62" s="36"/>
      <c r="C62" s="49" t="s">
        <v>250</v>
      </c>
      <c r="D62" s="49" t="s">
        <v>251</v>
      </c>
      <c r="E62" s="49" t="s">
        <v>252</v>
      </c>
      <c r="F62" s="49" t="s">
        <v>253</v>
      </c>
      <c r="G62" s="49" t="s">
        <v>202</v>
      </c>
      <c r="H62" s="36"/>
      <c r="I62" s="36"/>
    </row>
    <row r="63" spans="1:9" x14ac:dyDescent="0.25">
      <c r="B63" s="38" t="s">
        <v>254</v>
      </c>
      <c r="C63" s="39"/>
      <c r="D63" s="39"/>
      <c r="E63" s="39"/>
      <c r="F63" s="39"/>
      <c r="G63" s="42">
        <f>SUM(C63:F63)</f>
        <v>0</v>
      </c>
    </row>
    <row r="64" spans="1:9" x14ac:dyDescent="0.25">
      <c r="B64" s="38" t="s">
        <v>199</v>
      </c>
      <c r="C64" s="64"/>
      <c r="D64" s="30"/>
      <c r="E64" s="30"/>
      <c r="F64" s="30"/>
      <c r="G64" s="42">
        <f>IFERROR(SUMPRODUCT(#REF!,C64:F64)/#REF!,0)</f>
        <v>0</v>
      </c>
    </row>
    <row r="65" spans="1:9" x14ac:dyDescent="0.25">
      <c r="B65" s="38" t="s">
        <v>200</v>
      </c>
      <c r="C65" s="64"/>
      <c r="D65" s="30"/>
      <c r="E65" s="30"/>
      <c r="F65" s="30"/>
      <c r="G65" s="42">
        <f>IFERROR(SUMPRODUCT(#REF!,C65:F65)/#REF!,0)</f>
        <v>0</v>
      </c>
    </row>
    <row r="66" spans="1:9" x14ac:dyDescent="0.25">
      <c r="B66" s="38" t="s">
        <v>201</v>
      </c>
      <c r="C66" s="29">
        <f>+C64+C65</f>
        <v>0</v>
      </c>
      <c r="D66" s="29">
        <f t="shared" ref="D66:F66" si="15">+D64+D65</f>
        <v>0</v>
      </c>
      <c r="E66" s="29">
        <f t="shared" si="15"/>
        <v>0</v>
      </c>
      <c r="F66" s="29">
        <f t="shared" si="15"/>
        <v>0</v>
      </c>
      <c r="G66" s="29" t="str">
        <f t="shared" ref="G66" si="16">IFERROR(G64/G63,"")</f>
        <v/>
      </c>
    </row>
    <row r="67" spans="1:9" x14ac:dyDescent="0.25">
      <c r="B67" s="38" t="s">
        <v>139</v>
      </c>
      <c r="C67" s="40">
        <f>C63*C66</f>
        <v>0</v>
      </c>
      <c r="D67" s="40">
        <f t="shared" ref="D67:F67" si="17">D63*D66</f>
        <v>0</v>
      </c>
      <c r="E67" s="40">
        <f t="shared" si="17"/>
        <v>0</v>
      </c>
      <c r="F67" s="40">
        <f t="shared" si="17"/>
        <v>0</v>
      </c>
      <c r="G67" s="40">
        <f t="shared" ref="G67" si="18">SUM(C67:F67)</f>
        <v>0</v>
      </c>
    </row>
    <row r="68" spans="1:9" x14ac:dyDescent="0.25">
      <c r="B68" s="38" t="s">
        <v>140</v>
      </c>
      <c r="C68" s="43"/>
      <c r="D68" s="43"/>
      <c r="E68" s="43"/>
      <c r="F68" s="43"/>
      <c r="G68" s="51">
        <f>IFERROR(1-(G69/G67),0)</f>
        <v>0</v>
      </c>
    </row>
    <row r="69" spans="1:9" x14ac:dyDescent="0.25">
      <c r="B69" s="38" t="s">
        <v>141</v>
      </c>
      <c r="C69" s="69">
        <f>C67*(1-C68)</f>
        <v>0</v>
      </c>
      <c r="D69" s="69">
        <f t="shared" ref="D69:F69" si="19">D67*(1-D68)</f>
        <v>0</v>
      </c>
      <c r="E69" s="69">
        <f t="shared" si="19"/>
        <v>0</v>
      </c>
      <c r="F69" s="69">
        <f t="shared" si="19"/>
        <v>0</v>
      </c>
      <c r="G69" s="70">
        <f t="shared" ref="G69" si="20">SUM(C69:F69)</f>
        <v>0</v>
      </c>
    </row>
    <row r="70" spans="1:9" x14ac:dyDescent="0.25">
      <c r="C70" s="56"/>
    </row>
    <row r="71" spans="1:9" x14ac:dyDescent="0.25">
      <c r="A71" s="26" t="s">
        <v>154</v>
      </c>
      <c r="C71" s="28"/>
      <c r="D71" s="28">
        <f>StartYear</f>
        <v>0</v>
      </c>
      <c r="E71" s="28">
        <f>+D71+1</f>
        <v>1</v>
      </c>
      <c r="F71" s="28">
        <f>+E71+1</f>
        <v>2</v>
      </c>
      <c r="G71" s="28">
        <f>+F71+1</f>
        <v>3</v>
      </c>
      <c r="H71" s="28">
        <f>+G71+1</f>
        <v>4</v>
      </c>
      <c r="I71" s="28" t="str">
        <f>(H71+1)&amp;" and after"</f>
        <v>5 and after</v>
      </c>
    </row>
    <row r="72" spans="1:9" x14ac:dyDescent="0.25">
      <c r="B72" s="25" t="s">
        <v>255</v>
      </c>
      <c r="C72" s="65"/>
      <c r="D72" s="66"/>
      <c r="E72" s="66"/>
      <c r="F72" s="66"/>
      <c r="G72" s="66"/>
      <c r="H72" s="66"/>
      <c r="I72" s="43"/>
    </row>
    <row r="73" spans="1:9" x14ac:dyDescent="0.25">
      <c r="B73" s="25" t="s">
        <v>256</v>
      </c>
      <c r="C73" s="65"/>
      <c r="D73" s="66"/>
      <c r="E73" s="66"/>
      <c r="F73" s="66"/>
      <c r="G73" s="66"/>
      <c r="H73" s="66"/>
    </row>
    <row r="74" spans="1:9" x14ac:dyDescent="0.25">
      <c r="B74" s="25" t="s">
        <v>257</v>
      </c>
      <c r="C74" s="65"/>
      <c r="D74" s="66"/>
      <c r="E74" s="66"/>
      <c r="F74" s="66"/>
      <c r="G74" s="66"/>
      <c r="H74" s="66"/>
    </row>
    <row r="75" spans="1:9" x14ac:dyDescent="0.25">
      <c r="B75" s="25" t="s">
        <v>258</v>
      </c>
      <c r="C75" s="65"/>
      <c r="D75" s="66"/>
      <c r="E75" s="66"/>
      <c r="F75" s="66"/>
      <c r="G75" s="66"/>
      <c r="H75" s="66"/>
    </row>
    <row r="76" spans="1:9" x14ac:dyDescent="0.25">
      <c r="B76" s="25" t="s">
        <v>432</v>
      </c>
      <c r="C76" s="91">
        <f>IFERROR(($C$63*C72+$D$63*C73+$E$63*C74+$F$63*C75)/$G$63,0)</f>
        <v>0</v>
      </c>
      <c r="D76" s="91">
        <f t="shared" ref="D76:H76" si="21">IFERROR(($C$63*D72+$D$63*D73+$E$63*D74+$F$63*D75)/$G$63,0)</f>
        <v>0</v>
      </c>
      <c r="E76" s="91">
        <f t="shared" si="21"/>
        <v>0</v>
      </c>
      <c r="F76" s="91">
        <f t="shared" si="21"/>
        <v>0</v>
      </c>
      <c r="G76" s="91">
        <f t="shared" si="21"/>
        <v>0</v>
      </c>
      <c r="H76" s="91">
        <f t="shared" si="21"/>
        <v>0</v>
      </c>
    </row>
    <row r="78" spans="1:9" x14ac:dyDescent="0.25">
      <c r="A78" s="26" t="s">
        <v>207</v>
      </c>
      <c r="C78" s="28"/>
      <c r="D78" s="28">
        <f>StartYear</f>
        <v>0</v>
      </c>
      <c r="E78" s="28">
        <f>+D78+1</f>
        <v>1</v>
      </c>
      <c r="F78" s="28">
        <f>+E78+1</f>
        <v>2</v>
      </c>
      <c r="G78" s="28">
        <f>+F78+1</f>
        <v>3</v>
      </c>
      <c r="H78" s="28">
        <f>+G78+1</f>
        <v>4</v>
      </c>
      <c r="I78" s="28" t="str">
        <f>(H78+1)&amp;" and after"</f>
        <v>5 and after</v>
      </c>
    </row>
    <row r="79" spans="1:9" x14ac:dyDescent="0.25">
      <c r="B79" s="25" t="s">
        <v>255</v>
      </c>
      <c r="C79" s="65"/>
      <c r="D79" s="66"/>
      <c r="E79" s="66"/>
      <c r="F79" s="66"/>
      <c r="G79" s="66"/>
      <c r="H79" s="66"/>
      <c r="I79" s="43"/>
    </row>
    <row r="80" spans="1:9" x14ac:dyDescent="0.25">
      <c r="B80" s="25" t="s">
        <v>256</v>
      </c>
      <c r="C80" s="65"/>
      <c r="D80" s="66"/>
      <c r="E80" s="66"/>
      <c r="F80" s="66"/>
      <c r="G80" s="66"/>
      <c r="H80" s="66"/>
    </row>
    <row r="81" spans="1:9" x14ac:dyDescent="0.25">
      <c r="B81" s="25" t="s">
        <v>257</v>
      </c>
      <c r="C81" s="65"/>
      <c r="D81" s="66"/>
      <c r="E81" s="66"/>
      <c r="F81" s="66"/>
      <c r="G81" s="66"/>
      <c r="H81" s="66"/>
    </row>
    <row r="82" spans="1:9" x14ac:dyDescent="0.25">
      <c r="B82" s="25" t="s">
        <v>258</v>
      </c>
      <c r="C82" s="65"/>
      <c r="D82" s="66"/>
      <c r="E82" s="66"/>
      <c r="F82" s="66"/>
      <c r="G82" s="66"/>
      <c r="H82" s="66"/>
    </row>
    <row r="83" spans="1:9" x14ac:dyDescent="0.25">
      <c r="B83" s="25" t="s">
        <v>435</v>
      </c>
      <c r="C83" s="91">
        <f>IFERROR(($C$63*C79+$D$63*C80+$E$63*C81+$F$63*C82)/$G$63,0)</f>
        <v>0</v>
      </c>
      <c r="D83" s="91">
        <f t="shared" ref="D83:H83" si="22">IFERROR(($C$63*D79+$D$63*D80+$E$63*D81+$F$63*D82)/$G$63,0)</f>
        <v>0</v>
      </c>
      <c r="E83" s="91">
        <f t="shared" si="22"/>
        <v>0</v>
      </c>
      <c r="F83" s="91">
        <f t="shared" si="22"/>
        <v>0</v>
      </c>
      <c r="G83" s="91">
        <f t="shared" si="22"/>
        <v>0</v>
      </c>
      <c r="H83" s="91">
        <f t="shared" si="22"/>
        <v>0</v>
      </c>
    </row>
    <row r="85" spans="1:9" x14ac:dyDescent="0.25">
      <c r="A85" s="26" t="s">
        <v>155</v>
      </c>
      <c r="C85" s="28">
        <f>D85-1</f>
        <v>-1</v>
      </c>
      <c r="D85" s="28">
        <f>StartYear</f>
        <v>0</v>
      </c>
      <c r="E85" s="28">
        <f>+D85+1</f>
        <v>1</v>
      </c>
      <c r="F85" s="28">
        <f>+E85+1</f>
        <v>2</v>
      </c>
      <c r="G85" s="28">
        <f>+F85+1</f>
        <v>3</v>
      </c>
      <c r="H85" s="28">
        <f>+G85+1</f>
        <v>4</v>
      </c>
      <c r="I85" s="28" t="str">
        <f>(H85+1)&amp;" and after"</f>
        <v>5 and after</v>
      </c>
    </row>
    <row r="86" spans="1:9" x14ac:dyDescent="0.25">
      <c r="B86" s="25" t="s">
        <v>255</v>
      </c>
      <c r="C86" s="43"/>
      <c r="D86" s="43"/>
      <c r="E86" s="43"/>
      <c r="F86" s="43"/>
      <c r="G86" s="43"/>
      <c r="H86" s="43"/>
      <c r="I86" s="43">
        <v>0.1</v>
      </c>
    </row>
    <row r="87" spans="1:9" x14ac:dyDescent="0.25">
      <c r="B87" s="25" t="s">
        <v>256</v>
      </c>
      <c r="C87" s="43"/>
      <c r="D87" s="43"/>
      <c r="E87" s="43"/>
      <c r="F87" s="43"/>
      <c r="G87" s="43"/>
      <c r="H87" s="43"/>
    </row>
    <row r="88" spans="1:9" x14ac:dyDescent="0.25">
      <c r="B88" s="25" t="s">
        <v>257</v>
      </c>
      <c r="C88" s="43"/>
      <c r="D88" s="43"/>
      <c r="E88" s="43"/>
      <c r="F88" s="43"/>
      <c r="G88" s="43"/>
      <c r="H88" s="43"/>
    </row>
    <row r="89" spans="1:9" x14ac:dyDescent="0.25">
      <c r="B89" s="25" t="s">
        <v>258</v>
      </c>
      <c r="C89" s="43"/>
      <c r="D89" s="43"/>
      <c r="E89" s="43"/>
      <c r="F89" s="43"/>
      <c r="G89" s="43"/>
      <c r="H89" s="43"/>
    </row>
    <row r="90" spans="1:9" x14ac:dyDescent="0.25">
      <c r="B90" s="25" t="s">
        <v>157</v>
      </c>
      <c r="C90" s="50">
        <f>IFERROR(((C86*$C$14)+(C87*$D$14)+(C88*$E$14)+(C89*$F$14))/$G$14,0)</f>
        <v>0</v>
      </c>
      <c r="D90" s="50">
        <f t="shared" ref="D90:I90" si="23">IFERROR(((D86*$C$14)+(D87*$D$14)+(D88*$E$14)+(D89*$F$14))/$G$14,0)</f>
        <v>0</v>
      </c>
      <c r="E90" s="50">
        <f t="shared" si="23"/>
        <v>0</v>
      </c>
      <c r="F90" s="50">
        <f t="shared" si="23"/>
        <v>0</v>
      </c>
      <c r="G90" s="50">
        <f t="shared" si="23"/>
        <v>0</v>
      </c>
      <c r="H90" s="50">
        <f t="shared" si="23"/>
        <v>0</v>
      </c>
      <c r="I90" s="50">
        <f t="shared" si="23"/>
        <v>0</v>
      </c>
    </row>
    <row r="91" spans="1:9" x14ac:dyDescent="0.25">
      <c r="B91" s="25" t="s">
        <v>156</v>
      </c>
      <c r="C91" s="50">
        <f>IFERROR((1-C90)/(1-$G$15),0)</f>
        <v>1</v>
      </c>
      <c r="D91" s="50">
        <f t="shared" ref="D91:I91" si="24">IFERROR((1-D90)/(1-$G$15),0)</f>
        <v>1</v>
      </c>
      <c r="E91" s="50">
        <f t="shared" si="24"/>
        <v>1</v>
      </c>
      <c r="F91" s="50">
        <f t="shared" si="24"/>
        <v>1</v>
      </c>
      <c r="G91" s="50">
        <f t="shared" si="24"/>
        <v>1</v>
      </c>
      <c r="H91" s="50">
        <f t="shared" si="24"/>
        <v>1</v>
      </c>
      <c r="I91" s="50">
        <f t="shared" si="24"/>
        <v>1</v>
      </c>
    </row>
    <row r="92" spans="1:9" x14ac:dyDescent="0.25">
      <c r="B92" s="25" t="s">
        <v>166</v>
      </c>
      <c r="C92" s="68">
        <f>((C72+C79)*$C$10*(1-C86))+((C73+C80)*$D$10*(1-C87))+((C74+C81)*$E$10*(1-C88))+((C75+C82)*$F$10*(1-C89))</f>
        <v>0</v>
      </c>
      <c r="D92" s="68">
        <f t="shared" ref="D92:H92" si="25">((D72+D79)*$C$10*(1-D86))+((D73+D80)*$D$10*(1-D87))+((D74+D81)*$E$10*(1-D88))+((D75+D82)*$F$10*(1-D89))</f>
        <v>0</v>
      </c>
      <c r="E92" s="68">
        <f t="shared" si="25"/>
        <v>0</v>
      </c>
      <c r="F92" s="68">
        <f t="shared" si="25"/>
        <v>0</v>
      </c>
      <c r="G92" s="68">
        <f t="shared" si="25"/>
        <v>0</v>
      </c>
      <c r="H92" s="68">
        <f t="shared" si="25"/>
        <v>0</v>
      </c>
      <c r="I92" s="53"/>
    </row>
    <row r="94" spans="1:9" x14ac:dyDescent="0.25">
      <c r="A94" s="26" t="s">
        <v>208</v>
      </c>
      <c r="C94" s="28">
        <f>D94-1</f>
        <v>-1</v>
      </c>
      <c r="D94" s="28">
        <f>StartYear</f>
        <v>0</v>
      </c>
      <c r="E94" s="28">
        <f>+D94+1</f>
        <v>1</v>
      </c>
      <c r="F94" s="28">
        <f>+E94+1</f>
        <v>2</v>
      </c>
      <c r="G94" s="28">
        <f>+F94+1</f>
        <v>3</v>
      </c>
      <c r="H94" s="28">
        <f>+G94+1</f>
        <v>4</v>
      </c>
      <c r="I94" s="28" t="str">
        <f>(H94+1)&amp;" and after"</f>
        <v>5 and after</v>
      </c>
    </row>
    <row r="95" spans="1:9" x14ac:dyDescent="0.25">
      <c r="B95" s="25" t="str">
        <f>"Oper. expenses per sq ft - "&amp;B86</f>
        <v>Oper. expenses per sq ft - Industrial #1:</v>
      </c>
      <c r="C95" s="64"/>
      <c r="D95" s="64"/>
      <c r="E95" s="64"/>
      <c r="F95" s="64">
        <f>E95*1.02</f>
        <v>0</v>
      </c>
      <c r="G95" s="64">
        <f>F95*1.02</f>
        <v>0</v>
      </c>
      <c r="H95" s="64">
        <f>G95*1.02</f>
        <v>0</v>
      </c>
      <c r="I95" s="43">
        <v>0.02</v>
      </c>
    </row>
    <row r="96" spans="1:9" x14ac:dyDescent="0.25">
      <c r="B96" s="25" t="str">
        <f>"Oper. expenses per sq ft - "&amp;B87</f>
        <v>Oper. expenses per sq ft - Industrial #2:</v>
      </c>
      <c r="C96" s="64"/>
      <c r="D96" s="64"/>
      <c r="E96" s="64"/>
      <c r="F96" s="64"/>
      <c r="G96" s="64"/>
      <c r="H96" s="64"/>
    </row>
    <row r="97" spans="1:8" x14ac:dyDescent="0.25">
      <c r="B97" s="25" t="str">
        <f>"Oper. expenses per sq ft - "&amp;B88</f>
        <v>Oper. expenses per sq ft - Industrial #3:</v>
      </c>
      <c r="C97" s="64"/>
      <c r="D97" s="64"/>
      <c r="E97" s="64"/>
      <c r="F97" s="64"/>
      <c r="G97" s="64"/>
      <c r="H97" s="64"/>
    </row>
    <row r="98" spans="1:8" x14ac:dyDescent="0.25">
      <c r="B98" s="25" t="str">
        <f>"Oper. expenses per sq ft - "&amp;B89</f>
        <v>Oper. expenses per sq ft - Industrial #4:</v>
      </c>
      <c r="C98" s="64"/>
      <c r="D98" s="64"/>
      <c r="E98" s="64"/>
      <c r="F98" s="64"/>
      <c r="G98" s="64"/>
      <c r="H98" s="64"/>
    </row>
    <row r="99" spans="1:8" x14ac:dyDescent="0.25">
      <c r="B99" s="25" t="s">
        <v>163</v>
      </c>
      <c r="C99" s="67">
        <f>(C95*$C$63*(1-0))+(C96*$D$63*(1-0))+(C97*$E$63*(1-0))+(C98*$F$63*(1-0))</f>
        <v>0</v>
      </c>
      <c r="D99" s="67">
        <f t="shared" ref="D99:H99" si="26">(D95*$C$10*(1-0))+(D96*$D$10*(1-0))+(D97*$E$10*(1-0))+(D98*$F$10*(1-0))</f>
        <v>0</v>
      </c>
      <c r="E99" s="67">
        <f t="shared" si="26"/>
        <v>0</v>
      </c>
      <c r="F99" s="67">
        <f t="shared" si="26"/>
        <v>0</v>
      </c>
      <c r="G99" s="67">
        <f t="shared" si="26"/>
        <v>0</v>
      </c>
      <c r="H99" s="67">
        <f t="shared" si="26"/>
        <v>0</v>
      </c>
    </row>
    <row r="100" spans="1:8" x14ac:dyDescent="0.25">
      <c r="B100" s="25" t="s">
        <v>164</v>
      </c>
      <c r="C100" s="50">
        <f>IFERROR(C99/C92,0)</f>
        <v>0</v>
      </c>
      <c r="D100" s="50">
        <f t="shared" ref="D100:H100" si="27">IFERROR(D99/D92,0)</f>
        <v>0</v>
      </c>
      <c r="E100" s="50">
        <f t="shared" si="27"/>
        <v>0</v>
      </c>
      <c r="F100" s="50">
        <f t="shared" si="27"/>
        <v>0</v>
      </c>
      <c r="G100" s="50">
        <f t="shared" si="27"/>
        <v>0</v>
      </c>
      <c r="H100" s="50">
        <f t="shared" si="27"/>
        <v>0</v>
      </c>
    </row>
    <row r="102" spans="1:8" x14ac:dyDescent="0.25">
      <c r="A102" s="26" t="s">
        <v>209</v>
      </c>
      <c r="C102" s="49" t="s">
        <v>250</v>
      </c>
      <c r="D102" s="49" t="s">
        <v>251</v>
      </c>
      <c r="E102" s="49" t="s">
        <v>252</v>
      </c>
      <c r="F102" s="49" t="s">
        <v>253</v>
      </c>
      <c r="G102" s="49" t="s">
        <v>202</v>
      </c>
    </row>
    <row r="103" spans="1:8" x14ac:dyDescent="0.25">
      <c r="B103" s="25" t="s">
        <v>259</v>
      </c>
      <c r="C103" s="39"/>
      <c r="D103" s="39"/>
      <c r="E103" s="39"/>
      <c r="F103" s="39"/>
      <c r="G103" s="58">
        <f>SUM(C103:F103)</f>
        <v>0</v>
      </c>
    </row>
    <row r="104" spans="1:8" x14ac:dyDescent="0.25">
      <c r="B104" s="25" t="s">
        <v>260</v>
      </c>
      <c r="C104" s="30"/>
      <c r="D104" s="30"/>
      <c r="E104" s="30"/>
      <c r="F104" s="30"/>
      <c r="G104" s="57">
        <f>SUM(C104:F104)</f>
        <v>0</v>
      </c>
    </row>
    <row r="105" spans="1:8" x14ac:dyDescent="0.25">
      <c r="B105" s="25" t="s">
        <v>210</v>
      </c>
      <c r="C105" s="61">
        <f>IFERROR(C104/C103,0)</f>
        <v>0</v>
      </c>
      <c r="D105" s="61">
        <f t="shared" ref="D105:G105" si="28">IFERROR(D104/D103,0)</f>
        <v>0</v>
      </c>
      <c r="E105" s="61">
        <f t="shared" si="28"/>
        <v>0</v>
      </c>
      <c r="F105" s="61">
        <f t="shared" si="28"/>
        <v>0</v>
      </c>
      <c r="G105" s="61">
        <f t="shared" si="28"/>
        <v>0</v>
      </c>
    </row>
    <row r="106" spans="1:8" x14ac:dyDescent="0.25">
      <c r="B106" s="25" t="s">
        <v>213</v>
      </c>
      <c r="C106" s="9"/>
    </row>
    <row r="108" spans="1:8" x14ac:dyDescent="0.25">
      <c r="A108" s="26" t="s">
        <v>167</v>
      </c>
    </row>
    <row r="109" spans="1:8" x14ac:dyDescent="0.25">
      <c r="B109" s="25" t="s">
        <v>214</v>
      </c>
      <c r="C109" s="84" t="e">
        <f>SUMIF(#REF!,FirstYearIndust,#REF!)</f>
        <v>#REF!</v>
      </c>
    </row>
    <row r="110" spans="1:8" x14ac:dyDescent="0.25">
      <c r="B110" s="25" t="s">
        <v>168</v>
      </c>
      <c r="C110" s="57" t="e">
        <f>+C109+D99</f>
        <v>#REF!</v>
      </c>
    </row>
    <row r="111" spans="1:8" x14ac:dyDescent="0.25">
      <c r="B111" s="25" t="s">
        <v>169</v>
      </c>
      <c r="C111" s="29">
        <f>IFERROR(C110/G63,0)</f>
        <v>0</v>
      </c>
    </row>
    <row r="112" spans="1:8" x14ac:dyDescent="0.25">
      <c r="B112" s="25" t="s">
        <v>652</v>
      </c>
      <c r="C112" s="84" t="e">
        <f>SUMIF(#REF!,FirstYearIndust,#REF!)+SUMIF(#REF!,FirstYearIndust,#REF!)-SUMIF(#REF!,FirstYearIndust,#REF!)</f>
        <v>#REF!</v>
      </c>
      <c r="D112" s="25" t="s">
        <v>170</v>
      </c>
    </row>
  </sheetData>
  <conditionalFormatting sqref="C5">
    <cfRule type="expression" dxfId="25" priority="2">
      <formula>$C$4="No"</formula>
    </cfRule>
  </conditionalFormatting>
  <conditionalFormatting sqref="C58">
    <cfRule type="expression" dxfId="24" priority="1">
      <formula>$C$4="No"</formula>
    </cfRule>
  </conditionalFormatting>
  <conditionalFormatting sqref="C87:H87">
    <cfRule type="expression" dxfId="23" priority="5">
      <formula>C87&gt;$D$15</formula>
    </cfRule>
  </conditionalFormatting>
  <conditionalFormatting sqref="C88:H88">
    <cfRule type="expression" dxfId="22" priority="4">
      <formula>C88&gt;$E$15</formula>
    </cfRule>
  </conditionalFormatting>
  <conditionalFormatting sqref="C89:H89">
    <cfRule type="expression" dxfId="21" priority="3">
      <formula>C89&gt;$F$15</formula>
    </cfRule>
  </conditionalFormatting>
  <conditionalFormatting sqref="C33:I33">
    <cfRule type="expression" dxfId="20" priority="10">
      <formula>C33&gt;$C$15</formula>
    </cfRule>
  </conditionalFormatting>
  <conditionalFormatting sqref="C34:I34">
    <cfRule type="expression" dxfId="19" priority="9">
      <formula>C34&gt;$D$15</formula>
    </cfRule>
  </conditionalFormatting>
  <conditionalFormatting sqref="C35:I35">
    <cfRule type="expression" dxfId="18" priority="8">
      <formula>C35&gt;$E$15</formula>
    </cfRule>
  </conditionalFormatting>
  <conditionalFormatting sqref="C36:I36">
    <cfRule type="expression" dxfId="17" priority="7">
      <formula>C36&gt;$F$15</formula>
    </cfRule>
  </conditionalFormatting>
  <conditionalFormatting sqref="C86:I86">
    <cfRule type="expression" dxfId="16" priority="6">
      <formula>C86&gt;$C$15</formula>
    </cfRule>
  </conditionalFormatting>
  <dataValidations disablePrompts="1" count="2">
    <dataValidation type="list" allowBlank="1" showInputMessage="1" showErrorMessage="1" sqref="C53 C7 C106 C60" xr:uid="{ED766501-007E-4E40-9E00-54C1BC066F00}">
      <formula1>"Yes, No"</formula1>
    </dataValidation>
    <dataValidation type="list" allowBlank="1" showInputMessage="1" showErrorMessage="1" sqref="C5 C58" xr:uid="{49482795-4BB1-4759-8E03-6A63DA24A019}">
      <formula1>Months</formula1>
    </dataValidation>
  </dataValidations>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DC92-6D0B-4A9E-BC5A-674E5DE9AB00}">
  <sheetPr>
    <tabColor theme="7" tint="0.79998168889431442"/>
  </sheetPr>
  <dimension ref="A1:I57"/>
  <sheetViews>
    <sheetView topLeftCell="A10" workbookViewId="0">
      <selection activeCell="K18" sqref="K18"/>
    </sheetView>
  </sheetViews>
  <sheetFormatPr defaultColWidth="9.140625" defaultRowHeight="15.75" x14ac:dyDescent="0.25"/>
  <cols>
    <col min="1" max="1" width="2.7109375" style="26" customWidth="1"/>
    <col min="2" max="2" width="49.42578125" style="25" customWidth="1"/>
    <col min="3" max="9" width="16.7109375" style="25" customWidth="1"/>
    <col min="10" max="16384" width="9.140625" style="25"/>
  </cols>
  <sheetData>
    <row r="1" spans="1:9" s="37" customFormat="1" ht="18.75" x14ac:dyDescent="0.3">
      <c r="A1" s="27" t="s">
        <v>261</v>
      </c>
    </row>
    <row r="3" spans="1:9" x14ac:dyDescent="0.25">
      <c r="A3" s="47" t="s">
        <v>262</v>
      </c>
      <c r="B3" s="48"/>
      <c r="C3" s="48"/>
      <c r="D3" s="48"/>
      <c r="E3" s="48"/>
      <c r="F3" s="48"/>
      <c r="G3" s="48"/>
      <c r="H3" s="48"/>
      <c r="I3" s="48"/>
    </row>
    <row r="4" spans="1:9" ht="15" x14ac:dyDescent="0.25">
      <c r="A4" s="25"/>
      <c r="B4" s="1" t="s">
        <v>98</v>
      </c>
      <c r="D4" s="9"/>
    </row>
    <row r="5" spans="1:9" ht="15" x14ac:dyDescent="0.25">
      <c r="A5" s="25"/>
      <c r="B5" s="1" t="s">
        <v>99</v>
      </c>
      <c r="D5" s="55"/>
      <c r="F5" s="98">
        <f>_xlfn.XLOOKUP(D5,Months,DropDowns!$R$4:$R$15,1)</f>
        <v>1</v>
      </c>
    </row>
    <row r="6" spans="1:9" ht="15" x14ac:dyDescent="0.25">
      <c r="A6" s="25"/>
      <c r="B6" s="1" t="s">
        <v>100</v>
      </c>
      <c r="D6" s="9"/>
    </row>
    <row r="7" spans="1:9" ht="15" x14ac:dyDescent="0.25">
      <c r="A7" s="25"/>
    </row>
    <row r="8" spans="1:9" s="36" customFormat="1" x14ac:dyDescent="0.25">
      <c r="A8" s="26"/>
      <c r="B8" s="25" t="s">
        <v>263</v>
      </c>
      <c r="C8" s="25"/>
      <c r="D8" s="39"/>
      <c r="E8" s="25"/>
      <c r="F8" s="25"/>
      <c r="G8" s="25"/>
      <c r="H8" s="25"/>
      <c r="I8" s="25"/>
    </row>
    <row r="9" spans="1:9" x14ac:dyDescent="0.25">
      <c r="B9" s="25" t="s">
        <v>264</v>
      </c>
      <c r="D9" s="64"/>
    </row>
    <row r="10" spans="1:9" x14ac:dyDescent="0.25">
      <c r="B10" s="25" t="s">
        <v>219</v>
      </c>
      <c r="D10" s="61">
        <f>D9*D8*12</f>
        <v>0</v>
      </c>
    </row>
    <row r="11" spans="1:9" x14ac:dyDescent="0.25">
      <c r="B11" s="25" t="s">
        <v>265</v>
      </c>
      <c r="D11" s="71"/>
    </row>
    <row r="12" spans="1:9" x14ac:dyDescent="0.25">
      <c r="B12" s="25" t="s">
        <v>266</v>
      </c>
      <c r="D12" s="67">
        <f>D10*(1-D11)</f>
        <v>0</v>
      </c>
    </row>
    <row r="14" spans="1:9" x14ac:dyDescent="0.25">
      <c r="A14" s="26" t="s">
        <v>225</v>
      </c>
      <c r="C14" s="28">
        <f>D14-1</f>
        <v>-1</v>
      </c>
      <c r="D14" s="28">
        <f>StartYear</f>
        <v>0</v>
      </c>
      <c r="E14" s="28">
        <f>+D14+1</f>
        <v>1</v>
      </c>
      <c r="F14" s="28">
        <f>+E14+1</f>
        <v>2</v>
      </c>
      <c r="G14" s="28">
        <f>+F14+1</f>
        <v>3</v>
      </c>
      <c r="H14" s="28">
        <f>+G14+1</f>
        <v>4</v>
      </c>
      <c r="I14" s="28" t="str">
        <f>(H14+1)&amp;" and after"</f>
        <v>5 and after</v>
      </c>
    </row>
    <row r="15" spans="1:9" x14ac:dyDescent="0.25">
      <c r="B15" s="25" t="s">
        <v>645</v>
      </c>
      <c r="C15" s="65">
        <f>D9</f>
        <v>0</v>
      </c>
      <c r="D15" s="66">
        <f>C15*1.02</f>
        <v>0</v>
      </c>
      <c r="E15" s="66">
        <f t="shared" ref="E15:H15" si="0">D15*1.02</f>
        <v>0</v>
      </c>
      <c r="F15" s="66">
        <f t="shared" si="0"/>
        <v>0</v>
      </c>
      <c r="G15" s="66">
        <f t="shared" si="0"/>
        <v>0</v>
      </c>
      <c r="H15" s="66">
        <f t="shared" si="0"/>
        <v>0</v>
      </c>
      <c r="I15" s="43"/>
    </row>
    <row r="16" spans="1:9" x14ac:dyDescent="0.25">
      <c r="C16" s="57"/>
      <c r="D16" s="57"/>
      <c r="E16" s="57"/>
      <c r="F16" s="57"/>
      <c r="G16" s="57"/>
      <c r="H16" s="57"/>
    </row>
    <row r="17" spans="1:9" x14ac:dyDescent="0.25">
      <c r="A17" s="26" t="s">
        <v>155</v>
      </c>
      <c r="C17" s="28">
        <f>D17-1</f>
        <v>-1</v>
      </c>
      <c r="D17" s="28">
        <f>StartYear</f>
        <v>0</v>
      </c>
      <c r="E17" s="28">
        <f>+D17+1</f>
        <v>1</v>
      </c>
      <c r="F17" s="28">
        <f>+E17+1</f>
        <v>2</v>
      </c>
      <c r="G17" s="28">
        <f>+F17+1</f>
        <v>3</v>
      </c>
      <c r="H17" s="28">
        <f>+G17+1</f>
        <v>4</v>
      </c>
      <c r="I17" s="28" t="str">
        <f>(H17+1)&amp;" and after"</f>
        <v>5 and after</v>
      </c>
    </row>
    <row r="18" spans="1:9" x14ac:dyDescent="0.25">
      <c r="B18" s="25" t="s">
        <v>274</v>
      </c>
      <c r="C18" s="43"/>
      <c r="D18" s="43"/>
      <c r="E18" s="43"/>
      <c r="F18" s="43"/>
      <c r="G18" s="43"/>
      <c r="H18" s="43"/>
      <c r="I18" s="43"/>
    </row>
    <row r="19" spans="1:9" x14ac:dyDescent="0.25">
      <c r="B19" s="25" t="s">
        <v>156</v>
      </c>
      <c r="C19" s="50">
        <f>(1-C18)/(1-$D$11)</f>
        <v>1</v>
      </c>
      <c r="D19" s="50">
        <f t="shared" ref="D19:I19" si="1">(1-D18)/(1-$D$11)</f>
        <v>1</v>
      </c>
      <c r="E19" s="50">
        <f t="shared" si="1"/>
        <v>1</v>
      </c>
      <c r="F19" s="50">
        <f t="shared" si="1"/>
        <v>1</v>
      </c>
      <c r="G19" s="50">
        <f t="shared" si="1"/>
        <v>1</v>
      </c>
      <c r="H19" s="50">
        <f t="shared" si="1"/>
        <v>1</v>
      </c>
      <c r="I19" s="50">
        <f t="shared" si="1"/>
        <v>1</v>
      </c>
    </row>
    <row r="20" spans="1:9" x14ac:dyDescent="0.25">
      <c r="C20" s="102"/>
      <c r="D20" s="102"/>
      <c r="E20" s="102"/>
      <c r="F20" s="102"/>
      <c r="G20" s="102"/>
      <c r="H20" s="102"/>
    </row>
    <row r="21" spans="1:9" x14ac:dyDescent="0.25">
      <c r="A21" s="26" t="s">
        <v>229</v>
      </c>
      <c r="C21" s="28">
        <f>D21-1</f>
        <v>-1</v>
      </c>
      <c r="D21" s="28">
        <f>StartYear</f>
        <v>0</v>
      </c>
      <c r="E21" s="28">
        <f>+D21+1</f>
        <v>1</v>
      </c>
      <c r="F21" s="28">
        <f>+E21+1</f>
        <v>2</v>
      </c>
      <c r="G21" s="28">
        <f>+F21+1</f>
        <v>3</v>
      </c>
      <c r="H21" s="28">
        <f>+G21+1</f>
        <v>4</v>
      </c>
      <c r="I21" s="28" t="str">
        <f>(H21+1)&amp;" and after"</f>
        <v>5 and after</v>
      </c>
    </row>
    <row r="22" spans="1:9" x14ac:dyDescent="0.25">
      <c r="B22" s="25" t="s">
        <v>267</v>
      </c>
      <c r="C22" s="30"/>
      <c r="D22" s="30"/>
      <c r="E22" s="30"/>
      <c r="F22" s="30"/>
      <c r="G22" s="30"/>
      <c r="H22" s="30"/>
      <c r="I22" s="43"/>
    </row>
    <row r="23" spans="1:9" x14ac:dyDescent="0.25">
      <c r="B23" s="38" t="s">
        <v>234</v>
      </c>
      <c r="C23" s="50">
        <f>IFERROR(C22/(C15*$D$8*12),0)</f>
        <v>0</v>
      </c>
      <c r="D23" s="50">
        <f t="shared" ref="D23:H23" si="2">IFERROR(D22/(D15*$D$8*12),0)</f>
        <v>0</v>
      </c>
      <c r="E23" s="50">
        <f t="shared" si="2"/>
        <v>0</v>
      </c>
      <c r="F23" s="50">
        <f t="shared" si="2"/>
        <v>0</v>
      </c>
      <c r="G23" s="50">
        <f t="shared" si="2"/>
        <v>0</v>
      </c>
      <c r="H23" s="50">
        <f t="shared" si="2"/>
        <v>0</v>
      </c>
    </row>
    <row r="24" spans="1:9" x14ac:dyDescent="0.25">
      <c r="C24" s="56"/>
      <c r="D24" s="56"/>
      <c r="E24" s="56"/>
      <c r="F24" s="56"/>
      <c r="G24" s="56"/>
      <c r="H24" s="56"/>
    </row>
    <row r="25" spans="1:9" x14ac:dyDescent="0.25">
      <c r="A25" s="26" t="s">
        <v>209</v>
      </c>
      <c r="C25" s="49" t="s">
        <v>194</v>
      </c>
    </row>
    <row r="26" spans="1:9" x14ac:dyDescent="0.25">
      <c r="B26" s="25" t="s">
        <v>268</v>
      </c>
      <c r="C26" s="39"/>
    </row>
    <row r="27" spans="1:9" x14ac:dyDescent="0.25">
      <c r="B27" s="25" t="s">
        <v>269</v>
      </c>
      <c r="C27" s="30"/>
    </row>
    <row r="28" spans="1:9" x14ac:dyDescent="0.25">
      <c r="B28" s="25" t="s">
        <v>210</v>
      </c>
      <c r="C28" s="61">
        <f>IFERROR(C27/C26,0)</f>
        <v>0</v>
      </c>
    </row>
    <row r="29" spans="1:9" x14ac:dyDescent="0.25">
      <c r="B29" s="25" t="s">
        <v>213</v>
      </c>
      <c r="C29" s="9" t="s">
        <v>74</v>
      </c>
    </row>
    <row r="33" spans="1:9" x14ac:dyDescent="0.25">
      <c r="A33" s="47" t="s">
        <v>270</v>
      </c>
      <c r="B33" s="48"/>
      <c r="C33" s="48"/>
      <c r="D33" s="48"/>
      <c r="E33" s="48"/>
      <c r="F33" s="48"/>
      <c r="G33" s="48"/>
      <c r="H33" s="48"/>
      <c r="I33" s="48"/>
    </row>
    <row r="34" spans="1:9" ht="15" x14ac:dyDescent="0.25">
      <c r="A34" s="25"/>
      <c r="B34" s="1" t="s">
        <v>98</v>
      </c>
      <c r="D34" s="9"/>
    </row>
    <row r="35" spans="1:9" ht="15" x14ac:dyDescent="0.25">
      <c r="A35" s="25"/>
      <c r="B35" s="1" t="s">
        <v>99</v>
      </c>
      <c r="D35" s="55"/>
      <c r="F35" s="98">
        <f>_xlfn.XLOOKUP(D35,Months,DropDowns!$R$4:$R$15,1)</f>
        <v>1</v>
      </c>
    </row>
    <row r="36" spans="1:9" ht="15" x14ac:dyDescent="0.25">
      <c r="A36" s="25"/>
      <c r="B36" s="1" t="s">
        <v>100</v>
      </c>
      <c r="D36" s="9"/>
    </row>
    <row r="37" spans="1:9" ht="15" x14ac:dyDescent="0.25">
      <c r="A37" s="25"/>
    </row>
    <row r="38" spans="1:9" x14ac:dyDescent="0.25">
      <c r="B38" s="25" t="s">
        <v>219</v>
      </c>
      <c r="D38" s="30"/>
    </row>
    <row r="39" spans="1:9" x14ac:dyDescent="0.25">
      <c r="B39" s="25" t="s">
        <v>265</v>
      </c>
      <c r="D39" s="71"/>
    </row>
    <row r="40" spans="1:9" x14ac:dyDescent="0.25">
      <c r="B40" s="25" t="s">
        <v>266</v>
      </c>
      <c r="D40" s="67">
        <f>D38*(1-D39)</f>
        <v>0</v>
      </c>
    </row>
    <row r="42" spans="1:9" x14ac:dyDescent="0.25">
      <c r="A42" s="26" t="s">
        <v>225</v>
      </c>
      <c r="C42" s="28">
        <f>D42-1</f>
        <v>-1</v>
      </c>
      <c r="D42" s="28">
        <f>StartYear</f>
        <v>0</v>
      </c>
      <c r="E42" s="28">
        <f>+D42+1</f>
        <v>1</v>
      </c>
      <c r="F42" s="28">
        <f>+E42+1</f>
        <v>2</v>
      </c>
      <c r="G42" s="28">
        <f>+F42+1</f>
        <v>3</v>
      </c>
      <c r="H42" s="28">
        <f>+G42+1</f>
        <v>4</v>
      </c>
      <c r="I42" s="28" t="str">
        <f>(H42+1)&amp;" and after"</f>
        <v>5 and after</v>
      </c>
    </row>
    <row r="43" spans="1:9" x14ac:dyDescent="0.25">
      <c r="B43" s="25" t="s">
        <v>273</v>
      </c>
      <c r="C43" s="54">
        <f>D38</f>
        <v>0</v>
      </c>
      <c r="D43" s="55">
        <f>C43*1.02</f>
        <v>0</v>
      </c>
      <c r="E43" s="55">
        <f t="shared" ref="E43" si="3">D43*1.02</f>
        <v>0</v>
      </c>
      <c r="F43" s="55">
        <f t="shared" ref="F43" si="4">E43*1.02</f>
        <v>0</v>
      </c>
      <c r="G43" s="55">
        <f t="shared" ref="G43" si="5">F43*1.02</f>
        <v>0</v>
      </c>
      <c r="H43" s="55">
        <f t="shared" ref="H43" si="6">G43*1.02</f>
        <v>0</v>
      </c>
      <c r="I43" s="43">
        <v>0.02</v>
      </c>
    </row>
    <row r="45" spans="1:9" x14ac:dyDescent="0.25">
      <c r="A45" s="26" t="s">
        <v>155</v>
      </c>
      <c r="C45" s="28">
        <f>D45-1</f>
        <v>-1</v>
      </c>
      <c r="D45" s="28">
        <f>StartYear</f>
        <v>0</v>
      </c>
      <c r="E45" s="28">
        <f>+D45+1</f>
        <v>1</v>
      </c>
      <c r="F45" s="28">
        <f>+E45+1</f>
        <v>2</v>
      </c>
      <c r="G45" s="28">
        <f>+F45+1</f>
        <v>3</v>
      </c>
      <c r="H45" s="28">
        <f>+G45+1</f>
        <v>4</v>
      </c>
      <c r="I45" s="28" t="str">
        <f>(H45+1)&amp;" and after"</f>
        <v>5 and after</v>
      </c>
    </row>
    <row r="46" spans="1:9" x14ac:dyDescent="0.25">
      <c r="B46" s="25" t="s">
        <v>274</v>
      </c>
      <c r="C46" s="43"/>
      <c r="D46" s="43"/>
      <c r="E46" s="43"/>
      <c r="F46" s="43"/>
      <c r="G46" s="43"/>
      <c r="H46" s="43"/>
      <c r="I46" s="43">
        <v>0.1</v>
      </c>
    </row>
    <row r="47" spans="1:9" x14ac:dyDescent="0.25">
      <c r="B47" s="25" t="s">
        <v>156</v>
      </c>
      <c r="C47" s="50">
        <f>(1-C46)/(1-$D$11)</f>
        <v>1</v>
      </c>
      <c r="D47" s="50">
        <f t="shared" ref="D47" si="7">(1-D46)/(1-$D$11)</f>
        <v>1</v>
      </c>
      <c r="E47" s="50">
        <f t="shared" ref="E47" si="8">(1-E46)/(1-$D$11)</f>
        <v>1</v>
      </c>
      <c r="F47" s="50">
        <f t="shared" ref="F47" si="9">(1-F46)/(1-$D$11)</f>
        <v>1</v>
      </c>
      <c r="G47" s="50">
        <f t="shared" ref="G47" si="10">(1-G46)/(1-$D$11)</f>
        <v>1</v>
      </c>
      <c r="H47" s="50">
        <f t="shared" ref="H47" si="11">(1-H46)/(1-$D$11)</f>
        <v>1</v>
      </c>
      <c r="I47" s="50">
        <f t="shared" ref="I47" si="12">(1-I46)/(1-$D$11)</f>
        <v>0.9</v>
      </c>
    </row>
    <row r="49" spans="1:9" x14ac:dyDescent="0.25">
      <c r="A49" s="26" t="s">
        <v>229</v>
      </c>
      <c r="C49" s="28">
        <f>D49-1</f>
        <v>-1</v>
      </c>
      <c r="D49" s="28">
        <f>StartYear</f>
        <v>0</v>
      </c>
      <c r="E49" s="28">
        <f>+D49+1</f>
        <v>1</v>
      </c>
      <c r="F49" s="28">
        <f>+E49+1</f>
        <v>2</v>
      </c>
      <c r="G49" s="28">
        <f>+F49+1</f>
        <v>3</v>
      </c>
      <c r="H49" s="28">
        <f>+G49+1</f>
        <v>4</v>
      </c>
      <c r="I49" s="28" t="str">
        <f>(H49+1)&amp;" and after"</f>
        <v>5 and after</v>
      </c>
    </row>
    <row r="50" spans="1:9" x14ac:dyDescent="0.25">
      <c r="B50" s="25" t="s">
        <v>267</v>
      </c>
      <c r="C50" s="30"/>
      <c r="D50" s="30"/>
      <c r="E50" s="30"/>
      <c r="F50" s="30"/>
      <c r="G50" s="30"/>
      <c r="H50" s="30"/>
      <c r="I50" s="43">
        <v>0.02</v>
      </c>
    </row>
    <row r="51" spans="1:9" x14ac:dyDescent="0.25">
      <c r="B51" s="38" t="s">
        <v>234</v>
      </c>
      <c r="C51" s="50">
        <f>IFERROR(C50/(C43*(1-C46)),0)</f>
        <v>0</v>
      </c>
      <c r="D51" s="50">
        <f t="shared" ref="D51:H51" si="13">IFERROR(D50/(D43*(1-D46)),0)</f>
        <v>0</v>
      </c>
      <c r="E51" s="50">
        <f t="shared" si="13"/>
        <v>0</v>
      </c>
      <c r="F51" s="50">
        <f t="shared" si="13"/>
        <v>0</v>
      </c>
      <c r="G51" s="50">
        <f t="shared" si="13"/>
        <v>0</v>
      </c>
      <c r="H51" s="50">
        <f t="shared" si="13"/>
        <v>0</v>
      </c>
    </row>
    <row r="53" spans="1:9" x14ac:dyDescent="0.25">
      <c r="A53" s="26" t="s">
        <v>209</v>
      </c>
      <c r="C53" s="49" t="s">
        <v>194</v>
      </c>
    </row>
    <row r="54" spans="1:9" x14ac:dyDescent="0.25">
      <c r="B54" s="25" t="s">
        <v>271</v>
      </c>
      <c r="C54" s="39"/>
    </row>
    <row r="55" spans="1:9" x14ac:dyDescent="0.25">
      <c r="B55" s="25" t="s">
        <v>272</v>
      </c>
      <c r="C55" s="30"/>
    </row>
    <row r="56" spans="1:9" x14ac:dyDescent="0.25">
      <c r="B56" s="25" t="s">
        <v>210</v>
      </c>
      <c r="C56" s="61">
        <f>IFERROR(C55/C54,0)</f>
        <v>0</v>
      </c>
    </row>
    <row r="57" spans="1:9" x14ac:dyDescent="0.25">
      <c r="B57" s="25" t="s">
        <v>213</v>
      </c>
      <c r="C57" s="9"/>
    </row>
  </sheetData>
  <conditionalFormatting sqref="D5">
    <cfRule type="expression" dxfId="15" priority="2">
      <formula>$C$4="No"</formula>
    </cfRule>
  </conditionalFormatting>
  <conditionalFormatting sqref="D35">
    <cfRule type="expression" dxfId="14" priority="1">
      <formula>$C$4="No"</formula>
    </cfRule>
  </conditionalFormatting>
  <dataValidations count="2">
    <dataValidation type="list" allowBlank="1" showInputMessage="1" showErrorMessage="1" sqref="C29 C57" xr:uid="{FA66FF45-93BF-49D5-88CB-E14D09D28BEC}">
      <formula1>"Yes, No"</formula1>
    </dataValidation>
    <dataValidation type="list" allowBlank="1" showInputMessage="1" showErrorMessage="1" sqref="D5 D35" xr:uid="{16D514A1-B445-4538-9FFD-3B34CAC38F26}">
      <formula1>Months</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22BC-AF11-49D7-9F5F-9A1D5EA703D8}">
  <sheetPr>
    <tabColor theme="7" tint="0.39997558519241921"/>
  </sheetPr>
  <dimension ref="A1:K42"/>
  <sheetViews>
    <sheetView workbookViewId="0">
      <selection activeCell="D3" sqref="D3"/>
    </sheetView>
  </sheetViews>
  <sheetFormatPr defaultColWidth="9.140625" defaultRowHeight="15.75" x14ac:dyDescent="0.25"/>
  <cols>
    <col min="1" max="1" width="2.7109375" style="26" customWidth="1"/>
    <col min="2" max="2" width="43.140625" style="25" customWidth="1"/>
    <col min="3" max="8" width="16.7109375" style="25" customWidth="1"/>
    <col min="9" max="9" width="14.7109375" style="50" customWidth="1"/>
    <col min="10" max="10" width="9.140625" style="25"/>
    <col min="11" max="11" width="12.28515625" style="25" bestFit="1" customWidth="1"/>
    <col min="12" max="16384" width="9.140625" style="25"/>
  </cols>
  <sheetData>
    <row r="1" spans="1:9" s="37" customFormat="1" ht="18.75" x14ac:dyDescent="0.3">
      <c r="A1" s="27" t="s">
        <v>275</v>
      </c>
      <c r="I1" s="101"/>
    </row>
    <row r="2" spans="1:9" x14ac:dyDescent="0.25">
      <c r="E2" s="114"/>
      <c r="F2" s="113"/>
      <c r="G2" s="113"/>
      <c r="H2" s="113"/>
    </row>
    <row r="3" spans="1:9" x14ac:dyDescent="0.25">
      <c r="A3" s="47" t="s">
        <v>276</v>
      </c>
      <c r="B3" s="48"/>
      <c r="C3" s="73">
        <f>D3-1</f>
        <v>-1</v>
      </c>
      <c r="D3" s="73">
        <f>StartYear</f>
        <v>0</v>
      </c>
      <c r="E3" s="73">
        <f>+D3+1</f>
        <v>1</v>
      </c>
      <c r="F3" s="73">
        <f t="shared" ref="F3:H3" si="0">+E3+1</f>
        <v>2</v>
      </c>
      <c r="G3" s="73">
        <f t="shared" si="0"/>
        <v>3</v>
      </c>
      <c r="H3" s="73">
        <f t="shared" si="0"/>
        <v>4</v>
      </c>
      <c r="I3" s="100" t="str">
        <f>H3+1&amp;" and after"</f>
        <v>5 and after</v>
      </c>
    </row>
    <row r="4" spans="1:9" x14ac:dyDescent="0.25">
      <c r="B4" s="25" t="s">
        <v>277</v>
      </c>
      <c r="C4" s="30"/>
      <c r="D4" s="30"/>
      <c r="E4" s="30"/>
      <c r="F4" s="30"/>
      <c r="G4" s="30"/>
      <c r="H4" s="30"/>
      <c r="I4" s="43"/>
    </row>
    <row r="5" spans="1:9" x14ac:dyDescent="0.25">
      <c r="B5" s="25" t="s">
        <v>127</v>
      </c>
      <c r="C5" s="30"/>
      <c r="D5" s="30"/>
      <c r="E5" s="30"/>
      <c r="F5" s="30"/>
      <c r="G5" s="30"/>
      <c r="H5" s="30"/>
      <c r="I5" s="43"/>
    </row>
    <row r="6" spans="1:9" x14ac:dyDescent="0.25">
      <c r="B6" s="25" t="s">
        <v>636</v>
      </c>
      <c r="C6" s="67">
        <f t="shared" ref="C6:H6" si="1">SUM(C4:C5)</f>
        <v>0</v>
      </c>
      <c r="D6" s="67">
        <f t="shared" si="1"/>
        <v>0</v>
      </c>
      <c r="E6" s="67">
        <f t="shared" si="1"/>
        <v>0</v>
      </c>
      <c r="F6" s="67">
        <f t="shared" si="1"/>
        <v>0</v>
      </c>
      <c r="G6" s="67">
        <f t="shared" si="1"/>
        <v>0</v>
      </c>
      <c r="H6" s="67">
        <f t="shared" si="1"/>
        <v>0</v>
      </c>
      <c r="I6" s="50">
        <f>IFERROR(SUMPRODUCT(H4:H5,I4:I5)/H6,0)</f>
        <v>0</v>
      </c>
    </row>
    <row r="7" spans="1:9" ht="8.1" customHeight="1" x14ac:dyDescent="0.25"/>
    <row r="8" spans="1:9" x14ac:dyDescent="0.25">
      <c r="B8" s="25" t="s">
        <v>637</v>
      </c>
      <c r="C8" s="30">
        <v>0</v>
      </c>
      <c r="I8" s="25"/>
    </row>
    <row r="9" spans="1:9" x14ac:dyDescent="0.25">
      <c r="B9" s="25" t="s">
        <v>638</v>
      </c>
      <c r="C9" s="30">
        <v>0</v>
      </c>
      <c r="I9" s="25"/>
    </row>
    <row r="10" spans="1:9" x14ac:dyDescent="0.25">
      <c r="B10" s="25" t="s">
        <v>639</v>
      </c>
      <c r="C10" s="30">
        <v>0</v>
      </c>
      <c r="I10" s="25"/>
    </row>
    <row r="11" spans="1:9" ht="8.1" customHeight="1" x14ac:dyDescent="0.25"/>
    <row r="12" spans="1:9" x14ac:dyDescent="0.25">
      <c r="B12" s="25" t="s">
        <v>278</v>
      </c>
      <c r="C12" s="43"/>
      <c r="D12" s="43"/>
      <c r="E12" s="43"/>
      <c r="F12" s="43"/>
      <c r="G12" s="43"/>
      <c r="H12" s="43"/>
      <c r="I12" s="43"/>
    </row>
    <row r="13" spans="1:9" x14ac:dyDescent="0.25">
      <c r="B13" s="25" t="s">
        <v>279</v>
      </c>
      <c r="C13" s="43"/>
      <c r="D13" s="43"/>
      <c r="E13" s="43"/>
      <c r="F13" s="43"/>
      <c r="G13" s="43"/>
      <c r="H13" s="43"/>
      <c r="I13" s="43"/>
    </row>
    <row r="14" spans="1:9" x14ac:dyDescent="0.25">
      <c r="B14" s="25" t="s">
        <v>280</v>
      </c>
      <c r="C14" s="72">
        <f>1-C12-C13</f>
        <v>1</v>
      </c>
      <c r="D14" s="72">
        <f t="shared" ref="D14:H14" si="2">1-D12-D13</f>
        <v>1</v>
      </c>
      <c r="E14" s="72">
        <f t="shared" si="2"/>
        <v>1</v>
      </c>
      <c r="F14" s="72">
        <f t="shared" si="2"/>
        <v>1</v>
      </c>
      <c r="G14" s="72">
        <f t="shared" si="2"/>
        <v>1</v>
      </c>
      <c r="H14" s="72">
        <f t="shared" si="2"/>
        <v>1</v>
      </c>
      <c r="I14" s="72">
        <f t="shared" ref="I14" si="3">1-I12-I13</f>
        <v>1</v>
      </c>
    </row>
    <row r="16" spans="1:9" x14ac:dyDescent="0.25">
      <c r="E16" s="114"/>
      <c r="F16" s="113"/>
      <c r="G16" s="113"/>
      <c r="H16" s="113"/>
    </row>
    <row r="17" spans="1:9" x14ac:dyDescent="0.25">
      <c r="A17" s="47" t="s">
        <v>281</v>
      </c>
      <c r="B17" s="48"/>
      <c r="C17" s="73">
        <f>D17-1</f>
        <v>-1</v>
      </c>
      <c r="D17" s="73">
        <f>StartYear</f>
        <v>0</v>
      </c>
      <c r="E17" s="73">
        <f>+D17+1</f>
        <v>1</v>
      </c>
      <c r="F17" s="73">
        <f t="shared" ref="F17:H17" si="4">+E17+1</f>
        <v>2</v>
      </c>
      <c r="G17" s="73">
        <f t="shared" si="4"/>
        <v>3</v>
      </c>
      <c r="H17" s="73">
        <f t="shared" si="4"/>
        <v>4</v>
      </c>
      <c r="I17" s="100" t="str">
        <f>H17+1&amp;" and after"</f>
        <v>5 and after</v>
      </c>
    </row>
    <row r="18" spans="1:9" x14ac:dyDescent="0.25">
      <c r="B18" s="25" t="s">
        <v>644</v>
      </c>
      <c r="C18" s="30"/>
      <c r="D18" s="30"/>
      <c r="E18" s="30"/>
      <c r="F18" s="30"/>
      <c r="G18" s="30"/>
      <c r="H18" s="30"/>
      <c r="I18" s="43"/>
    </row>
    <row r="19" spans="1:9" x14ac:dyDescent="0.25">
      <c r="B19" s="25" t="s">
        <v>643</v>
      </c>
      <c r="C19" s="30"/>
      <c r="D19" s="30"/>
      <c r="E19" s="30"/>
      <c r="F19" s="30"/>
      <c r="G19" s="30"/>
      <c r="H19" s="30"/>
      <c r="I19" s="43"/>
    </row>
    <row r="20" spans="1:9" ht="8.1" customHeight="1" x14ac:dyDescent="0.25"/>
    <row r="21" spans="1:9" x14ac:dyDescent="0.25">
      <c r="B21" s="25" t="s">
        <v>641</v>
      </c>
      <c r="C21" s="30">
        <v>0</v>
      </c>
    </row>
    <row r="22" spans="1:9" x14ac:dyDescent="0.25">
      <c r="B22" s="25" t="s">
        <v>642</v>
      </c>
      <c r="C22" s="30">
        <v>0</v>
      </c>
    </row>
    <row r="24" spans="1:9" x14ac:dyDescent="0.25">
      <c r="A24" s="47" t="s">
        <v>282</v>
      </c>
      <c r="B24" s="48"/>
      <c r="C24" s="73">
        <f>D24-1</f>
        <v>-1</v>
      </c>
      <c r="D24" s="73">
        <f>StartYear</f>
        <v>0</v>
      </c>
      <c r="E24" s="73">
        <f>+D24+1</f>
        <v>1</v>
      </c>
      <c r="F24" s="73">
        <f t="shared" ref="F24:H24" si="5">+E24+1</f>
        <v>2</v>
      </c>
      <c r="G24" s="73">
        <f t="shared" si="5"/>
        <v>3</v>
      </c>
      <c r="H24" s="73">
        <f t="shared" si="5"/>
        <v>4</v>
      </c>
      <c r="I24" s="100" t="str">
        <f>H24+1&amp;" and after"</f>
        <v>5 and after</v>
      </c>
    </row>
    <row r="25" spans="1:9" x14ac:dyDescent="0.25">
      <c r="B25" s="25" t="s">
        <v>283</v>
      </c>
      <c r="C25" s="75"/>
      <c r="D25" s="75"/>
      <c r="E25" s="75"/>
      <c r="F25" s="75"/>
      <c r="G25" s="75"/>
      <c r="H25" s="75"/>
      <c r="I25" s="43"/>
    </row>
    <row r="26" spans="1:9" x14ac:dyDescent="0.25">
      <c r="B26" s="25" t="s">
        <v>284</v>
      </c>
      <c r="C26" s="75"/>
      <c r="D26" s="75"/>
      <c r="E26" s="75"/>
      <c r="F26" s="75"/>
      <c r="G26" s="75"/>
      <c r="H26" s="75"/>
      <c r="I26" s="43"/>
    </row>
    <row r="27" spans="1:9" x14ac:dyDescent="0.25">
      <c r="B27" s="25" t="s">
        <v>285</v>
      </c>
      <c r="C27" s="75"/>
      <c r="D27" s="75"/>
      <c r="E27" s="75"/>
      <c r="F27" s="75"/>
      <c r="G27" s="75"/>
      <c r="H27" s="75"/>
      <c r="I27" s="43"/>
    </row>
    <row r="29" spans="1:9" x14ac:dyDescent="0.25">
      <c r="B29" s="25" t="s">
        <v>286</v>
      </c>
      <c r="C29" s="30">
        <f>D29*0.5</f>
        <v>0</v>
      </c>
      <c r="D29" s="30">
        <f>D25*65000</f>
        <v>0</v>
      </c>
      <c r="E29" s="30">
        <f t="shared" ref="E29:H29" si="6">D29*1.02</f>
        <v>0</v>
      </c>
      <c r="F29" s="30">
        <f t="shared" si="6"/>
        <v>0</v>
      </c>
      <c r="G29" s="30">
        <f t="shared" si="6"/>
        <v>0</v>
      </c>
      <c r="H29" s="30">
        <f t="shared" si="6"/>
        <v>0</v>
      </c>
      <c r="I29" s="43">
        <v>0.02</v>
      </c>
    </row>
    <row r="30" spans="1:9" x14ac:dyDescent="0.25">
      <c r="B30" s="25" t="s">
        <v>287</v>
      </c>
      <c r="C30" s="30">
        <v>0</v>
      </c>
    </row>
    <row r="32" spans="1:9" x14ac:dyDescent="0.25">
      <c r="A32" s="47" t="s">
        <v>288</v>
      </c>
      <c r="B32" s="48"/>
      <c r="C32" s="73"/>
      <c r="D32" s="73"/>
      <c r="E32" s="73"/>
      <c r="F32" s="73"/>
      <c r="G32" s="73"/>
      <c r="H32" s="73"/>
      <c r="I32" s="100"/>
    </row>
    <row r="34" spans="2:11" x14ac:dyDescent="0.25">
      <c r="B34" s="77" t="s">
        <v>297</v>
      </c>
      <c r="C34" s="77" t="s">
        <v>289</v>
      </c>
      <c r="D34" s="77" t="s">
        <v>290</v>
      </c>
      <c r="E34" s="77" t="s">
        <v>291</v>
      </c>
      <c r="F34" s="105" t="s">
        <v>647</v>
      </c>
      <c r="J34" s="77" t="s">
        <v>646</v>
      </c>
      <c r="K34" s="77" t="s">
        <v>651</v>
      </c>
    </row>
    <row r="35" spans="2:11" x14ac:dyDescent="0.25">
      <c r="B35" s="74" t="s">
        <v>292</v>
      </c>
      <c r="C35" s="30"/>
      <c r="D35" s="60"/>
      <c r="E35" s="60"/>
      <c r="F35" s="121"/>
      <c r="G35" s="121"/>
      <c r="H35" s="121"/>
      <c r="J35" s="106" t="str">
        <f>_xlfn.XLOOKUP(F35,EquipClass,DropDowns!$U$4:$U$67,"---")</f>
        <v>---</v>
      </c>
      <c r="K35" s="106" t="str">
        <f>_xlfn.XLOOKUP(F35,EquipClass,DropDowns!$V$4:$V$67,"---")</f>
        <v>---</v>
      </c>
    </row>
    <row r="36" spans="2:11" x14ac:dyDescent="0.25">
      <c r="B36" s="74" t="s">
        <v>293</v>
      </c>
      <c r="C36" s="30"/>
      <c r="D36" s="60"/>
      <c r="E36" s="60"/>
      <c r="F36" s="121"/>
      <c r="G36" s="121"/>
      <c r="H36" s="121"/>
      <c r="J36" s="106" t="str">
        <f>_xlfn.XLOOKUP(F36,EquipClass,DropDowns!$U$4:$U$67,"---")</f>
        <v>---</v>
      </c>
      <c r="K36" s="106" t="str">
        <f>_xlfn.XLOOKUP(F36,EquipClass,DropDowns!$V$4:$V$67,"---")</f>
        <v>---</v>
      </c>
    </row>
    <row r="37" spans="2:11" x14ac:dyDescent="0.25">
      <c r="B37" s="74" t="s">
        <v>294</v>
      </c>
      <c r="C37" s="30"/>
      <c r="D37" s="60"/>
      <c r="E37" s="60"/>
      <c r="F37" s="121"/>
      <c r="G37" s="121"/>
      <c r="H37" s="121"/>
      <c r="J37" s="106" t="str">
        <f>_xlfn.XLOOKUP(F37,EquipClass,DropDowns!$U$4:$U$67,"---")</f>
        <v>---</v>
      </c>
      <c r="K37" s="106" t="str">
        <f>_xlfn.XLOOKUP(F37,EquipClass,DropDowns!$V$4:$V$67,"---")</f>
        <v>---</v>
      </c>
    </row>
    <row r="38" spans="2:11" x14ac:dyDescent="0.25">
      <c r="B38" s="74" t="s">
        <v>295</v>
      </c>
      <c r="C38" s="30"/>
      <c r="D38" s="60"/>
      <c r="E38" s="60"/>
      <c r="F38" s="121"/>
      <c r="G38" s="121"/>
      <c r="H38" s="121"/>
      <c r="J38" s="106" t="str">
        <f>_xlfn.XLOOKUP(F38,EquipClass,DropDowns!$U$4:$U$67,"---")</f>
        <v>---</v>
      </c>
      <c r="K38" s="106" t="str">
        <f>_xlfn.XLOOKUP(F38,EquipClass,DropDowns!$V$4:$V$67,"---")</f>
        <v>---</v>
      </c>
    </row>
    <row r="39" spans="2:11" x14ac:dyDescent="0.25">
      <c r="B39" s="74" t="s">
        <v>296</v>
      </c>
      <c r="C39" s="30"/>
      <c r="D39" s="60"/>
      <c r="E39" s="60"/>
      <c r="F39" s="121"/>
      <c r="G39" s="121"/>
      <c r="H39" s="121"/>
      <c r="J39" s="106" t="str">
        <f>_xlfn.XLOOKUP(F39,EquipClass,DropDowns!$U$4:$U$67,"---")</f>
        <v>---</v>
      </c>
      <c r="K39" s="106" t="str">
        <f>_xlfn.XLOOKUP(F39,EquipClass,DropDowns!$V$4:$V$67,"---")</f>
        <v>---</v>
      </c>
    </row>
    <row r="40" spans="2:11" x14ac:dyDescent="0.25">
      <c r="B40" s="74" t="s">
        <v>627</v>
      </c>
      <c r="C40" s="30"/>
      <c r="D40" s="60"/>
      <c r="E40" s="60"/>
      <c r="F40" s="121"/>
      <c r="G40" s="121"/>
      <c r="H40" s="121"/>
      <c r="J40" s="106" t="str">
        <f>_xlfn.XLOOKUP(F40,EquipClass,DropDowns!$U$4:$U$67,"---")</f>
        <v>---</v>
      </c>
      <c r="K40" s="106" t="str">
        <f>_xlfn.XLOOKUP(F40,EquipClass,DropDowns!$V$4:$V$67,"---")</f>
        <v>---</v>
      </c>
    </row>
    <row r="41" spans="2:11" x14ac:dyDescent="0.25">
      <c r="B41" s="74" t="s">
        <v>628</v>
      </c>
      <c r="C41" s="30"/>
      <c r="D41" s="60"/>
      <c r="E41" s="60"/>
      <c r="F41" s="121"/>
      <c r="G41" s="121"/>
      <c r="H41" s="121"/>
      <c r="J41" s="106" t="str">
        <f>_xlfn.XLOOKUP(F41,EquipClass,DropDowns!$U$4:$U$67,"---")</f>
        <v>---</v>
      </c>
      <c r="K41" s="106" t="str">
        <f>_xlfn.XLOOKUP(F41,EquipClass,DropDowns!$V$4:$V$67,"---")</f>
        <v>---</v>
      </c>
    </row>
    <row r="42" spans="2:11" x14ac:dyDescent="0.25">
      <c r="B42" s="74" t="s">
        <v>629</v>
      </c>
      <c r="C42" s="30"/>
      <c r="D42" s="60"/>
      <c r="E42" s="60"/>
      <c r="F42" s="121"/>
      <c r="G42" s="121"/>
      <c r="H42" s="121"/>
      <c r="J42" s="106" t="str">
        <f>_xlfn.XLOOKUP(F42,EquipClass,DropDowns!$U$4:$U$67,"---")</f>
        <v>---</v>
      </c>
      <c r="K42" s="106" t="str">
        <f>_xlfn.XLOOKUP(F42,EquipClass,DropDowns!$V$4:$V$67,"---")</f>
        <v>---</v>
      </c>
    </row>
  </sheetData>
  <mergeCells count="8">
    <mergeCell ref="F40:H40"/>
    <mergeCell ref="F41:H41"/>
    <mergeCell ref="F42:H42"/>
    <mergeCell ref="F35:H35"/>
    <mergeCell ref="F36:H36"/>
    <mergeCell ref="F37:H37"/>
    <mergeCell ref="F38:H38"/>
    <mergeCell ref="F39:H39"/>
  </mergeCells>
  <conditionalFormatting sqref="C14:I14">
    <cfRule type="cellIs" dxfId="13" priority="1" operator="lessThan">
      <formula>0</formula>
    </cfRule>
  </conditionalFormatting>
  <dataValidations count="1">
    <dataValidation type="list" allowBlank="1" showInputMessage="1" showErrorMessage="1" sqref="F35:F42" xr:uid="{A68EAB12-7634-45E2-A7A3-DDEEAA593B7F}">
      <formula1>EquipClass</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AE6A7-939A-4A7A-9FC3-EAF20A4C64AD}">
  <sheetPr>
    <tabColor theme="7" tint="0.39997558519241921"/>
  </sheetPr>
  <dimension ref="A1:J60"/>
  <sheetViews>
    <sheetView workbookViewId="0">
      <selection activeCell="C33" sqref="C33"/>
    </sheetView>
  </sheetViews>
  <sheetFormatPr defaultColWidth="9.140625" defaultRowHeight="15.75" x14ac:dyDescent="0.25"/>
  <cols>
    <col min="1" max="1" width="2.7109375" style="26" customWidth="1"/>
    <col min="2" max="2" width="43.140625" style="25" customWidth="1"/>
    <col min="3" max="3" width="20.28515625" style="25" customWidth="1"/>
    <col min="4" max="4" width="4.7109375" style="25" customWidth="1"/>
    <col min="5" max="5" width="13.28515625" style="25" customWidth="1"/>
    <col min="6" max="6" width="44.42578125" style="25" bestFit="1" customWidth="1"/>
    <col min="7" max="7" width="18" style="25" customWidth="1"/>
    <col min="8" max="13" width="16.7109375" style="25" customWidth="1"/>
    <col min="14" max="16384" width="9.140625" style="25"/>
  </cols>
  <sheetData>
    <row r="1" spans="1:9" s="37" customFormat="1" ht="18.75" x14ac:dyDescent="0.3">
      <c r="A1" s="27" t="s">
        <v>298</v>
      </c>
    </row>
    <row r="3" spans="1:9" x14ac:dyDescent="0.25">
      <c r="A3" s="47" t="s">
        <v>299</v>
      </c>
      <c r="B3" s="48"/>
      <c r="C3" s="48"/>
      <c r="F3" s="47" t="s">
        <v>331</v>
      </c>
      <c r="G3" s="73" t="s">
        <v>289</v>
      </c>
      <c r="H3" s="73" t="s">
        <v>371</v>
      </c>
      <c r="I3" s="73" t="s">
        <v>372</v>
      </c>
    </row>
    <row r="4" spans="1:9" x14ac:dyDescent="0.25">
      <c r="B4" s="25" t="s">
        <v>301</v>
      </c>
      <c r="C4" s="30"/>
      <c r="F4" s="76" t="s">
        <v>332</v>
      </c>
    </row>
    <row r="5" spans="1:9" x14ac:dyDescent="0.25">
      <c r="B5" s="25" t="s">
        <v>302</v>
      </c>
      <c r="C5" s="30"/>
      <c r="F5" s="38" t="s">
        <v>312</v>
      </c>
      <c r="G5" s="30"/>
    </row>
    <row r="6" spans="1:9" x14ac:dyDescent="0.25">
      <c r="B6" s="25" t="s">
        <v>303</v>
      </c>
      <c r="C6" s="30"/>
      <c r="F6" s="76" t="s">
        <v>333</v>
      </c>
      <c r="G6" s="67">
        <f>SUM(G5)</f>
        <v>0</v>
      </c>
      <c r="H6" s="56" t="e">
        <f>G6/General_Info!$E$8</f>
        <v>#DIV/0!</v>
      </c>
      <c r="I6" s="50">
        <f>IFERROR(G6/$G$59,0)</f>
        <v>0</v>
      </c>
    </row>
    <row r="7" spans="1:9" x14ac:dyDescent="0.25">
      <c r="B7" s="126" t="s">
        <v>656</v>
      </c>
      <c r="C7" s="30"/>
    </row>
    <row r="8" spans="1:9" x14ac:dyDescent="0.25">
      <c r="B8" s="25" t="s">
        <v>304</v>
      </c>
      <c r="C8" s="30"/>
      <c r="F8" s="76" t="s">
        <v>334</v>
      </c>
    </row>
    <row r="9" spans="1:9" x14ac:dyDescent="0.25">
      <c r="B9" s="25" t="s">
        <v>305</v>
      </c>
      <c r="C9" s="30"/>
      <c r="F9" s="117" t="s">
        <v>654</v>
      </c>
      <c r="G9" s="30"/>
    </row>
    <row r="10" spans="1:9" x14ac:dyDescent="0.25">
      <c r="B10" s="25" t="s">
        <v>306</v>
      </c>
      <c r="C10" s="30"/>
      <c r="F10" s="117" t="s">
        <v>653</v>
      </c>
      <c r="G10" s="30"/>
    </row>
    <row r="11" spans="1:9" x14ac:dyDescent="0.25">
      <c r="B11" s="25" t="s">
        <v>307</v>
      </c>
      <c r="C11" s="30"/>
      <c r="E11" s="52"/>
      <c r="F11" s="38" t="s">
        <v>335</v>
      </c>
      <c r="G11" s="30"/>
    </row>
    <row r="12" spans="1:9" x14ac:dyDescent="0.25">
      <c r="B12" s="25" t="s">
        <v>308</v>
      </c>
      <c r="C12" s="30"/>
      <c r="F12" s="38" t="s">
        <v>336</v>
      </c>
      <c r="G12" s="30"/>
    </row>
    <row r="13" spans="1:9" x14ac:dyDescent="0.25">
      <c r="B13" s="25" t="s">
        <v>309</v>
      </c>
      <c r="C13" s="30"/>
      <c r="F13" s="38" t="s">
        <v>337</v>
      </c>
      <c r="G13" s="30"/>
    </row>
    <row r="14" spans="1:9" x14ac:dyDescent="0.25">
      <c r="B14" s="125" t="s">
        <v>655</v>
      </c>
      <c r="C14" s="30"/>
      <c r="F14" s="38" t="s">
        <v>338</v>
      </c>
      <c r="G14" s="30"/>
    </row>
    <row r="15" spans="1:9" x14ac:dyDescent="0.25">
      <c r="B15" s="125" t="s">
        <v>657</v>
      </c>
      <c r="C15" s="30"/>
      <c r="F15" s="38" t="s">
        <v>339</v>
      </c>
      <c r="G15" s="30"/>
    </row>
    <row r="16" spans="1:9" s="26" customFormat="1" x14ac:dyDescent="0.25">
      <c r="A16" s="26" t="s">
        <v>310</v>
      </c>
      <c r="C16" s="110">
        <f>MAX(SUM(C4:C15),99)</f>
        <v>99</v>
      </c>
      <c r="D16" s="107" t="str">
        <f>IF(C16&lt;&gt;C25,"IMBALANCE","")</f>
        <v/>
      </c>
      <c r="F16" s="81" t="s">
        <v>340</v>
      </c>
      <c r="G16" s="30"/>
    </row>
    <row r="17" spans="1:9" x14ac:dyDescent="0.25">
      <c r="F17" s="127" t="s">
        <v>658</v>
      </c>
      <c r="G17" s="30"/>
    </row>
    <row r="18" spans="1:9" x14ac:dyDescent="0.25">
      <c r="A18" s="47" t="s">
        <v>311</v>
      </c>
      <c r="B18" s="48"/>
      <c r="C18" s="48"/>
      <c r="F18" s="82" t="s">
        <v>131</v>
      </c>
      <c r="G18" s="30"/>
    </row>
    <row r="19" spans="1:9" x14ac:dyDescent="0.25">
      <c r="B19" s="25" t="s">
        <v>315</v>
      </c>
      <c r="C19" s="52">
        <f>G6</f>
        <v>0</v>
      </c>
      <c r="F19" s="82" t="s">
        <v>131</v>
      </c>
      <c r="G19" s="30"/>
    </row>
    <row r="20" spans="1:9" x14ac:dyDescent="0.25">
      <c r="B20" s="25" t="s">
        <v>316</v>
      </c>
      <c r="C20" s="52">
        <f>G21</f>
        <v>0</v>
      </c>
      <c r="F20" s="38" t="s">
        <v>341</v>
      </c>
      <c r="G20" s="30"/>
    </row>
    <row r="21" spans="1:9" x14ac:dyDescent="0.25">
      <c r="B21" s="25" t="s">
        <v>317</v>
      </c>
      <c r="C21" s="52">
        <f>G44</f>
        <v>0</v>
      </c>
      <c r="F21" s="76" t="s">
        <v>342</v>
      </c>
      <c r="G21" s="67">
        <f>SUM(G9:G20)</f>
        <v>0</v>
      </c>
      <c r="H21" s="56" t="e">
        <f>G21/General_Info!$E$8</f>
        <v>#DIV/0!</v>
      </c>
      <c r="I21" s="50">
        <f>IFERROR(G21/$G$59,0)</f>
        <v>0</v>
      </c>
    </row>
    <row r="22" spans="1:9" x14ac:dyDescent="0.25">
      <c r="B22" s="25" t="s">
        <v>318</v>
      </c>
      <c r="C22" s="52">
        <f>G50</f>
        <v>0</v>
      </c>
    </row>
    <row r="23" spans="1:9" x14ac:dyDescent="0.25">
      <c r="B23" s="25" t="s">
        <v>319</v>
      </c>
      <c r="C23" s="52">
        <f>G55</f>
        <v>0</v>
      </c>
      <c r="F23" s="76" t="s">
        <v>343</v>
      </c>
    </row>
    <row r="24" spans="1:9" x14ac:dyDescent="0.25">
      <c r="B24" s="25" t="s">
        <v>320</v>
      </c>
      <c r="C24" s="52">
        <f>G57</f>
        <v>0</v>
      </c>
      <c r="F24" s="38" t="s">
        <v>344</v>
      </c>
      <c r="G24" s="30"/>
    </row>
    <row r="25" spans="1:9" x14ac:dyDescent="0.25">
      <c r="A25" s="26" t="s">
        <v>310</v>
      </c>
      <c r="B25" s="26"/>
      <c r="C25" s="78">
        <f>MAX(SUM(C19:C24),99)</f>
        <v>99</v>
      </c>
      <c r="D25" s="103" t="str">
        <f>IF(C16&lt;&gt;C25,"IMBALANCE","")</f>
        <v/>
      </c>
      <c r="F25" s="38" t="s">
        <v>345</v>
      </c>
      <c r="G25" s="30"/>
    </row>
    <row r="26" spans="1:9" x14ac:dyDescent="0.25">
      <c r="F26" s="38" t="s">
        <v>346</v>
      </c>
      <c r="G26" s="30"/>
    </row>
    <row r="27" spans="1:9" x14ac:dyDescent="0.25">
      <c r="A27" s="47" t="s">
        <v>321</v>
      </c>
      <c r="B27" s="48"/>
      <c r="C27" s="48"/>
      <c r="F27" s="38" t="s">
        <v>347</v>
      </c>
      <c r="G27" s="30"/>
    </row>
    <row r="28" spans="1:9" x14ac:dyDescent="0.25">
      <c r="B28" s="25" t="s">
        <v>322</v>
      </c>
      <c r="C28" s="80">
        <v>0.06</v>
      </c>
      <c r="F28" s="38" t="s">
        <v>348</v>
      </c>
      <c r="G28" s="30"/>
    </row>
    <row r="29" spans="1:9" x14ac:dyDescent="0.25">
      <c r="B29" s="25" t="s">
        <v>323</v>
      </c>
      <c r="C29" s="60">
        <v>30</v>
      </c>
      <c r="F29" s="38" t="s">
        <v>349</v>
      </c>
      <c r="G29" s="30"/>
    </row>
    <row r="30" spans="1:9" x14ac:dyDescent="0.25">
      <c r="B30" s="25" t="s">
        <v>621</v>
      </c>
      <c r="C30" s="97">
        <f>IFERROR((DebtRate/12) / (1-(1/(1+(DebtRate/12))^(12*DebtTerm)))*12,0)</f>
        <v>7.1946063018331077E-2</v>
      </c>
      <c r="F30" s="38" t="s">
        <v>350</v>
      </c>
      <c r="G30" s="30"/>
    </row>
    <row r="31" spans="1:9" x14ac:dyDescent="0.25">
      <c r="F31" s="38" t="s">
        <v>351</v>
      </c>
      <c r="G31" s="30"/>
    </row>
    <row r="32" spans="1:9" x14ac:dyDescent="0.25">
      <c r="B32" s="25" t="s">
        <v>324</v>
      </c>
      <c r="C32" s="80">
        <v>0.15</v>
      </c>
      <c r="F32" s="38" t="s">
        <v>352</v>
      </c>
      <c r="G32" s="30"/>
    </row>
    <row r="33" spans="1:9" x14ac:dyDescent="0.25">
      <c r="B33" s="25" t="s">
        <v>325</v>
      </c>
      <c r="C33" s="79">
        <v>0.32</v>
      </c>
      <c r="F33" s="38" t="s">
        <v>353</v>
      </c>
      <c r="G33" s="30"/>
    </row>
    <row r="34" spans="1:9" x14ac:dyDescent="0.25">
      <c r="F34" s="38" t="s">
        <v>354</v>
      </c>
      <c r="G34" s="30"/>
    </row>
    <row r="35" spans="1:9" x14ac:dyDescent="0.25">
      <c r="A35" s="47" t="s">
        <v>326</v>
      </c>
      <c r="B35" s="48"/>
      <c r="C35" s="48"/>
      <c r="F35" s="38" t="s">
        <v>355</v>
      </c>
      <c r="G35" s="30"/>
    </row>
    <row r="36" spans="1:9" x14ac:dyDescent="0.25">
      <c r="F36" s="38" t="s">
        <v>356</v>
      </c>
      <c r="G36" s="30"/>
    </row>
    <row r="37" spans="1:9" x14ac:dyDescent="0.25">
      <c r="B37" s="76" t="s">
        <v>330</v>
      </c>
      <c r="F37" s="38" t="s">
        <v>357</v>
      </c>
      <c r="G37" s="30"/>
    </row>
    <row r="38" spans="1:9" x14ac:dyDescent="0.25">
      <c r="B38" s="38" t="s">
        <v>327</v>
      </c>
      <c r="C38" s="52">
        <f>G21</f>
        <v>0</v>
      </c>
      <c r="F38" s="38" t="s">
        <v>358</v>
      </c>
      <c r="G38" s="30"/>
    </row>
    <row r="39" spans="1:9" x14ac:dyDescent="0.25">
      <c r="B39" s="38" t="s">
        <v>328</v>
      </c>
      <c r="C39" s="80"/>
      <c r="F39" s="38" t="s">
        <v>359</v>
      </c>
      <c r="G39" s="30"/>
    </row>
    <row r="40" spans="1:9" x14ac:dyDescent="0.25">
      <c r="B40" s="38" t="s">
        <v>329</v>
      </c>
      <c r="C40" s="83"/>
      <c r="F40" s="82" t="s">
        <v>370</v>
      </c>
      <c r="G40" s="30"/>
    </row>
    <row r="41" spans="1:9" x14ac:dyDescent="0.25">
      <c r="B41" s="76" t="s">
        <v>373</v>
      </c>
      <c r="C41" s="85">
        <f>C38*C39*C40</f>
        <v>0</v>
      </c>
      <c r="F41" s="127" t="s">
        <v>658</v>
      </c>
      <c r="G41" s="30"/>
    </row>
    <row r="42" spans="1:9" x14ac:dyDescent="0.25">
      <c r="F42" s="82" t="s">
        <v>131</v>
      </c>
      <c r="G42" s="30"/>
    </row>
    <row r="43" spans="1:9" x14ac:dyDescent="0.25">
      <c r="B43" s="76" t="s">
        <v>374</v>
      </c>
      <c r="F43" s="38" t="s">
        <v>360</v>
      </c>
      <c r="G43" s="30"/>
    </row>
    <row r="44" spans="1:9" x14ac:dyDescent="0.25">
      <c r="B44" s="38" t="s">
        <v>375</v>
      </c>
      <c r="C44" s="52">
        <f>G59</f>
        <v>0</v>
      </c>
      <c r="F44" s="76" t="s">
        <v>361</v>
      </c>
      <c r="G44" s="67">
        <f>SUM(G24:G43)</f>
        <v>0</v>
      </c>
      <c r="H44" s="56" t="e">
        <f>G44/General_Info!$E$8</f>
        <v>#DIV/0!</v>
      </c>
      <c r="I44" s="50">
        <f>IFERROR(G44/$G$59,0)</f>
        <v>0</v>
      </c>
    </row>
    <row r="45" spans="1:9" x14ac:dyDescent="0.25">
      <c r="B45" s="38" t="s">
        <v>376</v>
      </c>
      <c r="C45" s="83"/>
    </row>
    <row r="46" spans="1:9" x14ac:dyDescent="0.25">
      <c r="B46" s="38" t="s">
        <v>377</v>
      </c>
      <c r="C46" s="67">
        <f>C44*C45</f>
        <v>0</v>
      </c>
      <c r="F46" s="76" t="s">
        <v>313</v>
      </c>
    </row>
    <row r="47" spans="1:9" ht="15" x14ac:dyDescent="0.25">
      <c r="A47" s="25"/>
      <c r="F47" s="38" t="s">
        <v>362</v>
      </c>
      <c r="G47" s="30"/>
    </row>
    <row r="48" spans="1:9" x14ac:dyDescent="0.25">
      <c r="B48" s="38" t="s">
        <v>378</v>
      </c>
      <c r="C48" s="52">
        <f>C44*0.001</f>
        <v>0</v>
      </c>
      <c r="F48" s="38" t="s">
        <v>363</v>
      </c>
      <c r="G48" s="30"/>
    </row>
    <row r="49" spans="1:10" x14ac:dyDescent="0.25">
      <c r="B49" s="38" t="s">
        <v>379</v>
      </c>
      <c r="C49" s="52">
        <f>C44*0.002</f>
        <v>0</v>
      </c>
      <c r="F49" s="127" t="s">
        <v>658</v>
      </c>
      <c r="G49" s="30"/>
    </row>
    <row r="50" spans="1:10" x14ac:dyDescent="0.25">
      <c r="F50" s="76" t="s">
        <v>364</v>
      </c>
      <c r="G50" s="67">
        <f>SUM(G47:G49)</f>
        <v>0</v>
      </c>
      <c r="H50" s="56" t="e">
        <f>G50/General_Info!$E$8</f>
        <v>#DIV/0!</v>
      </c>
      <c r="I50" s="50">
        <f>IFERROR(G50/$G$59,0)</f>
        <v>0</v>
      </c>
    </row>
    <row r="51" spans="1:10" x14ac:dyDescent="0.25">
      <c r="B51" s="76" t="s">
        <v>380</v>
      </c>
    </row>
    <row r="52" spans="1:10" x14ac:dyDescent="0.25">
      <c r="B52" s="46" t="s">
        <v>381</v>
      </c>
      <c r="C52" s="30"/>
      <c r="F52" s="76" t="s">
        <v>314</v>
      </c>
    </row>
    <row r="53" spans="1:10" x14ac:dyDescent="0.25">
      <c r="B53" s="46" t="s">
        <v>382</v>
      </c>
      <c r="C53" s="30"/>
      <c r="F53" s="38" t="s">
        <v>365</v>
      </c>
      <c r="G53" s="30"/>
    </row>
    <row r="54" spans="1:10" x14ac:dyDescent="0.25">
      <c r="B54" s="46" t="s">
        <v>383</v>
      </c>
      <c r="C54" s="30"/>
      <c r="F54" s="38" t="s">
        <v>366</v>
      </c>
      <c r="G54" s="30"/>
    </row>
    <row r="55" spans="1:10" x14ac:dyDescent="0.25">
      <c r="B55" s="46" t="s">
        <v>384</v>
      </c>
      <c r="C55" s="40">
        <f>C46</f>
        <v>0</v>
      </c>
      <c r="F55" s="76" t="s">
        <v>367</v>
      </c>
      <c r="G55" s="67">
        <f>SUM(G53:G54)</f>
        <v>0</v>
      </c>
      <c r="H55" s="56" t="e">
        <f>G55/General_Info!$E$8</f>
        <v>#DIV/0!</v>
      </c>
      <c r="I55" s="50">
        <f>IFERROR(G55/$G$59,0)</f>
        <v>0</v>
      </c>
    </row>
    <row r="56" spans="1:10" x14ac:dyDescent="0.25">
      <c r="B56" s="25" t="s">
        <v>385</v>
      </c>
      <c r="C56" s="67">
        <f>SUM(C52:C55)</f>
        <v>0</v>
      </c>
    </row>
    <row r="57" spans="1:10" x14ac:dyDescent="0.25">
      <c r="F57" s="76" t="s">
        <v>368</v>
      </c>
      <c r="G57" s="30"/>
      <c r="H57" s="56" t="e">
        <f>G57/General_Info!$E$8</f>
        <v>#DIV/0!</v>
      </c>
      <c r="I57" s="50">
        <f>IFERROR(G57/$G$59,0)</f>
        <v>0</v>
      </c>
    </row>
    <row r="58" spans="1:10" x14ac:dyDescent="0.25">
      <c r="A58" s="26" t="s">
        <v>387</v>
      </c>
      <c r="C58" s="86">
        <f>+C41-C56</f>
        <v>0</v>
      </c>
    </row>
    <row r="59" spans="1:10" s="26" customFormat="1" x14ac:dyDescent="0.25">
      <c r="B59" s="38" t="s">
        <v>386</v>
      </c>
      <c r="C59" s="50">
        <f>IFERROR(C58/G59,0)</f>
        <v>0</v>
      </c>
      <c r="F59" s="26" t="s">
        <v>369</v>
      </c>
      <c r="G59" s="111">
        <f>+G6+G21+G44+G50+G55+G57</f>
        <v>0</v>
      </c>
      <c r="H59" s="87" t="e">
        <f>G59/General_Info!$E$8</f>
        <v>#DIV/0!</v>
      </c>
      <c r="I59" s="88">
        <f>IFERROR(G59/$G$59,0)</f>
        <v>0</v>
      </c>
      <c r="J59" s="111" t="e">
        <f>G59/Residential!C9</f>
        <v>#DIV/0!</v>
      </c>
    </row>
    <row r="60" spans="1:10" x14ac:dyDescent="0.25">
      <c r="F60" s="96" t="str">
        <f>IF(G59=C25,"","TOTAL SOURCES DO NOT MATCH SUMMARY IN C25")</f>
        <v>TOTAL SOURCES DO NOT MATCH SUMMARY IN C25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1D63-F8C5-44E3-A584-ADCB7A298679}">
  <sheetPr>
    <tabColor theme="7" tint="0.39997558519241921"/>
  </sheetPr>
  <dimension ref="A1:G27"/>
  <sheetViews>
    <sheetView workbookViewId="0">
      <selection activeCell="C14" sqref="C14"/>
    </sheetView>
  </sheetViews>
  <sheetFormatPr defaultColWidth="9.140625" defaultRowHeight="15.75" x14ac:dyDescent="0.25"/>
  <cols>
    <col min="1" max="1" width="2.7109375" style="26" customWidth="1"/>
    <col min="2" max="2" width="43.140625" style="25" customWidth="1"/>
    <col min="3" max="4" width="16.7109375" style="25" customWidth="1"/>
    <col min="5" max="5" width="4.7109375" style="25" customWidth="1"/>
    <col min="6" max="6" width="57.42578125" style="25" bestFit="1" customWidth="1"/>
    <col min="7" max="7" width="16.7109375" style="25" customWidth="1"/>
    <col min="8" max="16384" width="9.140625" style="25"/>
  </cols>
  <sheetData>
    <row r="1" spans="1:7" s="37" customFormat="1" ht="18.75" x14ac:dyDescent="0.3">
      <c r="A1" s="27" t="s">
        <v>388</v>
      </c>
    </row>
    <row r="2" spans="1:7" ht="15" x14ac:dyDescent="0.25">
      <c r="A2" s="76"/>
    </row>
    <row r="3" spans="1:7" x14ac:dyDescent="0.25">
      <c r="A3" s="47" t="s">
        <v>389</v>
      </c>
      <c r="B3" s="48"/>
      <c r="C3" s="48"/>
      <c r="D3" s="48"/>
      <c r="F3" s="47" t="s">
        <v>414</v>
      </c>
      <c r="G3" s="48"/>
    </row>
    <row r="4" spans="1:7" x14ac:dyDescent="0.25">
      <c r="B4" s="25" t="s">
        <v>396</v>
      </c>
      <c r="C4" s="9" t="s">
        <v>74</v>
      </c>
      <c r="F4" s="25" t="s">
        <v>415</v>
      </c>
      <c r="G4" s="9" t="s">
        <v>74</v>
      </c>
    </row>
    <row r="5" spans="1:7" x14ac:dyDescent="0.25">
      <c r="B5" s="38" t="s">
        <v>390</v>
      </c>
      <c r="C5" s="89">
        <v>2022</v>
      </c>
      <c r="F5" s="38" t="s">
        <v>429</v>
      </c>
      <c r="G5" s="43"/>
    </row>
    <row r="6" spans="1:7" x14ac:dyDescent="0.25">
      <c r="B6" s="38" t="s">
        <v>391</v>
      </c>
      <c r="C6" s="30"/>
      <c r="F6" s="25" t="s">
        <v>416</v>
      </c>
      <c r="G6" s="9" t="s">
        <v>74</v>
      </c>
    </row>
    <row r="7" spans="1:7" x14ac:dyDescent="0.25">
      <c r="B7" s="38" t="s">
        <v>640</v>
      </c>
      <c r="C7" s="89">
        <v>20</v>
      </c>
      <c r="F7" s="38" t="s">
        <v>430</v>
      </c>
      <c r="G7" s="43"/>
    </row>
    <row r="8" spans="1:7" x14ac:dyDescent="0.25">
      <c r="B8" s="38" t="s">
        <v>392</v>
      </c>
      <c r="C8" s="30">
        <v>0</v>
      </c>
    </row>
    <row r="9" spans="1:7" x14ac:dyDescent="0.25">
      <c r="B9" s="38" t="s">
        <v>393</v>
      </c>
      <c r="C9" s="9"/>
      <c r="F9" s="47" t="s">
        <v>417</v>
      </c>
      <c r="G9" s="48"/>
    </row>
    <row r="10" spans="1:7" x14ac:dyDescent="0.25">
      <c r="B10" s="38" t="s">
        <v>394</v>
      </c>
      <c r="C10" s="89"/>
      <c r="F10" s="25" t="s">
        <v>418</v>
      </c>
      <c r="G10" s="9" t="s">
        <v>74</v>
      </c>
    </row>
    <row r="11" spans="1:7" x14ac:dyDescent="0.25">
      <c r="B11" s="38" t="s">
        <v>395</v>
      </c>
      <c r="C11" s="89"/>
      <c r="F11" s="38" t="s">
        <v>419</v>
      </c>
      <c r="G11" s="43"/>
    </row>
    <row r="12" spans="1:7" x14ac:dyDescent="0.25">
      <c r="F12" s="38" t="s">
        <v>420</v>
      </c>
      <c r="G12" s="89"/>
    </row>
    <row r="13" spans="1:7" x14ac:dyDescent="0.25">
      <c r="A13" s="47" t="s">
        <v>397</v>
      </c>
      <c r="B13" s="48"/>
      <c r="C13" s="48" t="s">
        <v>407</v>
      </c>
      <c r="D13" s="48" t="s">
        <v>406</v>
      </c>
      <c r="F13" s="25" t="s">
        <v>421</v>
      </c>
      <c r="G13" s="9" t="s">
        <v>74</v>
      </c>
    </row>
    <row r="14" spans="1:7" x14ac:dyDescent="0.25">
      <c r="B14" s="25" t="s">
        <v>398</v>
      </c>
      <c r="C14" s="9" t="s">
        <v>74</v>
      </c>
      <c r="D14" s="9" t="s">
        <v>74</v>
      </c>
      <c r="F14" s="38" t="s">
        <v>419</v>
      </c>
      <c r="G14" s="43"/>
    </row>
    <row r="15" spans="1:7" x14ac:dyDescent="0.25">
      <c r="B15" s="38" t="s">
        <v>399</v>
      </c>
      <c r="C15" s="55" t="s">
        <v>408</v>
      </c>
      <c r="D15" s="55"/>
      <c r="F15" s="38" t="s">
        <v>420</v>
      </c>
      <c r="G15" s="89"/>
    </row>
    <row r="16" spans="1:7" x14ac:dyDescent="0.25">
      <c r="B16" s="38" t="s">
        <v>400</v>
      </c>
      <c r="C16" s="89">
        <v>10</v>
      </c>
      <c r="D16" s="89"/>
      <c r="F16" s="38" t="s">
        <v>422</v>
      </c>
      <c r="G16" s="9"/>
    </row>
    <row r="17" spans="1:7" x14ac:dyDescent="0.25">
      <c r="B17" s="38" t="s">
        <v>401</v>
      </c>
      <c r="C17" s="43">
        <v>0</v>
      </c>
      <c r="D17" s="43"/>
      <c r="E17" s="104">
        <v>5</v>
      </c>
    </row>
    <row r="18" spans="1:7" x14ac:dyDescent="0.25">
      <c r="B18" s="38" t="s">
        <v>402</v>
      </c>
      <c r="C18" s="43">
        <v>0</v>
      </c>
      <c r="D18" s="43"/>
      <c r="E18" s="104">
        <v>10</v>
      </c>
      <c r="F18" s="25" t="s">
        <v>423</v>
      </c>
      <c r="G18" s="9" t="s">
        <v>74</v>
      </c>
    </row>
    <row r="19" spans="1:7" x14ac:dyDescent="0.25">
      <c r="B19" s="38" t="s">
        <v>403</v>
      </c>
      <c r="C19" s="43">
        <v>0</v>
      </c>
      <c r="D19" s="43"/>
      <c r="E19" s="104">
        <v>15</v>
      </c>
      <c r="F19" s="38" t="s">
        <v>424</v>
      </c>
      <c r="G19" s="9"/>
    </row>
    <row r="20" spans="1:7" x14ac:dyDescent="0.25">
      <c r="B20" s="38" t="s">
        <v>404</v>
      </c>
      <c r="C20" s="43"/>
      <c r="D20" s="43"/>
      <c r="E20" s="104">
        <v>20</v>
      </c>
      <c r="F20" s="38" t="s">
        <v>425</v>
      </c>
      <c r="G20" s="43"/>
    </row>
    <row r="21" spans="1:7" x14ac:dyDescent="0.25">
      <c r="B21" s="38" t="s">
        <v>405</v>
      </c>
      <c r="C21" s="43"/>
      <c r="D21" s="43"/>
      <c r="E21" s="104">
        <v>25</v>
      </c>
      <c r="F21" s="38" t="s">
        <v>426</v>
      </c>
      <c r="G21" s="9"/>
    </row>
    <row r="23" spans="1:7" x14ac:dyDescent="0.25">
      <c r="A23" s="47" t="s">
        <v>409</v>
      </c>
      <c r="B23" s="48"/>
      <c r="C23" s="48"/>
      <c r="D23" s="48"/>
      <c r="F23" s="47" t="s">
        <v>300</v>
      </c>
      <c r="G23" s="48"/>
    </row>
    <row r="24" spans="1:7" x14ac:dyDescent="0.25">
      <c r="B24" s="25" t="s">
        <v>410</v>
      </c>
      <c r="C24" s="9" t="s">
        <v>74</v>
      </c>
      <c r="F24" s="25" t="s">
        <v>427</v>
      </c>
      <c r="G24" s="9" t="s">
        <v>74</v>
      </c>
    </row>
    <row r="25" spans="1:7" x14ac:dyDescent="0.25">
      <c r="B25" s="38" t="s">
        <v>411</v>
      </c>
      <c r="C25" s="89">
        <v>2022</v>
      </c>
      <c r="F25" s="25" t="s">
        <v>428</v>
      </c>
      <c r="G25" s="9" t="s">
        <v>431</v>
      </c>
    </row>
    <row r="26" spans="1:7" x14ac:dyDescent="0.25">
      <c r="B26" s="38" t="s">
        <v>412</v>
      </c>
      <c r="C26" s="89">
        <v>10</v>
      </c>
    </row>
    <row r="27" spans="1:7" x14ac:dyDescent="0.25">
      <c r="B27" s="38" t="s">
        <v>413</v>
      </c>
      <c r="C27" s="43">
        <v>0.01</v>
      </c>
    </row>
  </sheetData>
  <conditionalFormatting sqref="B9:B11">
    <cfRule type="expression" dxfId="12" priority="22">
      <formula>$C$4="No"</formula>
    </cfRule>
  </conditionalFormatting>
  <conditionalFormatting sqref="B5:C8">
    <cfRule type="expression" dxfId="11" priority="2">
      <formula>$C$4="No"</formula>
    </cfRule>
  </conditionalFormatting>
  <conditionalFormatting sqref="B25:C27">
    <cfRule type="expression" dxfId="10" priority="18">
      <formula>$C$24="No"</formula>
    </cfRule>
  </conditionalFormatting>
  <conditionalFormatting sqref="C10:C11">
    <cfRule type="expression" dxfId="9" priority="1">
      <formula>$C$9="Paygo"</formula>
    </cfRule>
  </conditionalFormatting>
  <conditionalFormatting sqref="C15:C21">
    <cfRule type="expression" dxfId="8" priority="21">
      <formula>$C$14="No"</formula>
    </cfRule>
  </conditionalFormatting>
  <conditionalFormatting sqref="D15:D21">
    <cfRule type="expression" dxfId="7" priority="20">
      <formula>$D$14="No"</formula>
    </cfRule>
  </conditionalFormatting>
  <conditionalFormatting sqref="D16:D21">
    <cfRule type="expression" dxfId="6" priority="19">
      <formula>$C$14="No"</formula>
    </cfRule>
  </conditionalFormatting>
  <conditionalFormatting sqref="F5:G5">
    <cfRule type="expression" dxfId="5" priority="9">
      <formula>$G$4="No"</formula>
    </cfRule>
  </conditionalFormatting>
  <conditionalFormatting sqref="F7:G7">
    <cfRule type="expression" dxfId="4" priority="8">
      <formula>$G$6="No"</formula>
    </cfRule>
  </conditionalFormatting>
  <conditionalFormatting sqref="F11:G12">
    <cfRule type="expression" dxfId="3" priority="7">
      <formula>$G$10="No"</formula>
    </cfRule>
  </conditionalFormatting>
  <conditionalFormatting sqref="F14:G15">
    <cfRule type="expression" dxfId="2" priority="6">
      <formula>$G$13="No"</formula>
    </cfRule>
  </conditionalFormatting>
  <conditionalFormatting sqref="F16:G16">
    <cfRule type="expression" dxfId="1" priority="5">
      <formula>AND($G$10="No",$G$13="No")</formula>
    </cfRule>
  </conditionalFormatting>
  <conditionalFormatting sqref="F19:G21">
    <cfRule type="expression" dxfId="0" priority="4">
      <formula>$G$18="No"</formula>
    </cfRule>
  </conditionalFormatting>
  <dataValidations count="6">
    <dataValidation type="list" allowBlank="1" showInputMessage="1" showErrorMessage="1" sqref="C4 C14:D14 C24 G4 G6 G10 G13 G18 G24" xr:uid="{65FADF9A-4FE4-4399-98B0-496855F3832A}">
      <formula1>"Yes, No"</formula1>
    </dataValidation>
    <dataValidation type="list" allowBlank="1" showInputMessage="1" showErrorMessage="1" sqref="G16 G21 G25 C9" xr:uid="{3132426D-3ECA-45C9-B632-1FBB165EEEDD}">
      <formula1>"Paygo, Capitalized"</formula1>
    </dataValidation>
    <dataValidation type="list" allowBlank="1" showInputMessage="1" showErrorMessage="1" sqref="G19" xr:uid="{2C778DD2-03B6-417B-8EB9-1EA72F84331D}">
      <formula1>"All Property Tax, Increment"</formula1>
    </dataValidation>
    <dataValidation type="list" allowBlank="1" showInputMessage="1" showErrorMessage="1" sqref="C6" xr:uid="{C36389DE-618D-469C-A2CA-5514E3AC8340}">
      <formula1>Months</formula1>
    </dataValidation>
    <dataValidation type="list" allowBlank="1" showInputMessage="1" showErrorMessage="1" sqref="D15" xr:uid="{DD5FBCA0-6190-498E-A57D-824856BAD320}">
      <formula1>"Ch. 100"</formula1>
    </dataValidation>
    <dataValidation type="list" allowBlank="1" showInputMessage="1" showErrorMessage="1" sqref="C15" xr:uid="{A88E7D95-7C49-4CE0-9930-06FE7A21BED1}">
      <formula1>"Ch. 99, Ch. 100, Ch. 353"</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Application</vt:lpstr>
      <vt:lpstr>General_Info</vt:lpstr>
      <vt:lpstr>Residential</vt:lpstr>
      <vt:lpstr>Retail-Hotel</vt:lpstr>
      <vt:lpstr>Office-Industrial</vt:lpstr>
      <vt:lpstr>Parking-Misc</vt:lpstr>
      <vt:lpstr>Economic Activity</vt:lpstr>
      <vt:lpstr>Sources-Uses</vt:lpstr>
      <vt:lpstr>Incentive_Request</vt:lpstr>
      <vt:lpstr>DropDowns</vt:lpstr>
      <vt:lpstr>Abate1_5</vt:lpstr>
      <vt:lpstr>Abate11_15</vt:lpstr>
      <vt:lpstr>Abate16_20</vt:lpstr>
      <vt:lpstr>Abate21_25</vt:lpstr>
      <vt:lpstr>Abate6_10</vt:lpstr>
      <vt:lpstr>CompletionYear</vt:lpstr>
      <vt:lpstr>CostOfEquity</vt:lpstr>
      <vt:lpstr>DebtConstant</vt:lpstr>
      <vt:lpstr>DebtRate</vt:lpstr>
      <vt:lpstr>DebtTerm</vt:lpstr>
      <vt:lpstr>DeferFee</vt:lpstr>
      <vt:lpstr>DevEquity</vt:lpstr>
      <vt:lpstr>EquipClass</vt:lpstr>
      <vt:lpstr>FirstYearHotel</vt:lpstr>
      <vt:lpstr>FirstYearIndust</vt:lpstr>
      <vt:lpstr>FirstYearOffice</vt:lpstr>
      <vt:lpstr>FirstYearOther</vt:lpstr>
      <vt:lpstr>FirstYearParking</vt:lpstr>
      <vt:lpstr>FirstYearResid</vt:lpstr>
      <vt:lpstr>FirstYearRetail</vt:lpstr>
      <vt:lpstr>Incl_4sale</vt:lpstr>
      <vt:lpstr>Incl_hotel</vt:lpstr>
      <vt:lpstr>Incl_indust</vt:lpstr>
      <vt:lpstr>Incl_office</vt:lpstr>
      <vt:lpstr>Incl_other</vt:lpstr>
      <vt:lpstr>Incl_parking</vt:lpstr>
      <vt:lpstr>Incl_rental</vt:lpstr>
      <vt:lpstr>Incl_retail</vt:lpstr>
      <vt:lpstr>IndustNNN</vt:lpstr>
      <vt:lpstr>Months</vt:lpstr>
      <vt:lpstr>MVA</vt:lpstr>
      <vt:lpstr>MVACode</vt:lpstr>
      <vt:lpstr>Neighborhoods</vt:lpstr>
      <vt:lpstr>OfficeNNN</vt:lpstr>
      <vt:lpstr>OtherSource</vt:lpstr>
      <vt:lpstr>PayrollHotel</vt:lpstr>
      <vt:lpstr>PayrollInd</vt:lpstr>
      <vt:lpstr>PayrollMisc</vt:lpstr>
      <vt:lpstr>PayrollOffice</vt:lpstr>
      <vt:lpstr>PayrollParking</vt:lpstr>
      <vt:lpstr>PayrollRetail</vt:lpstr>
      <vt:lpstr>Application!Print_Area</vt:lpstr>
      <vt:lpstr>PrivateDebt</vt:lpstr>
      <vt:lpstr>Proj_Address</vt:lpstr>
      <vt:lpstr>Proj_Parcel_No</vt:lpstr>
      <vt:lpstr>ProjName</vt:lpstr>
      <vt:lpstr>ProjNeigh</vt:lpstr>
      <vt:lpstr>ProjZIP</vt:lpstr>
      <vt:lpstr>RetailNNN</vt:lpstr>
      <vt:lpstr>SalesPercentGrocery</vt:lpstr>
      <vt:lpstr>SalesPercentRestaurant</vt:lpstr>
      <vt:lpstr>SalesPercentRetail</vt:lpstr>
      <vt:lpstr>SLUP</vt:lpstr>
      <vt:lpstr>StabilYear</vt:lpstr>
      <vt:lpstr>StartYear</vt:lpstr>
      <vt:lpstr>TIFDuration</vt:lpstr>
      <vt:lpstr>TIFReq</vt:lpstr>
      <vt:lpstr>TIFStartYear</vt:lpstr>
      <vt:lpstr>TIFValue</vt:lpstr>
      <vt:lpstr>TotalAV</vt:lpstr>
      <vt:lpstr>TotalMV</vt:lpstr>
      <vt:lpstr>TotalRETax</vt:lpstr>
      <vt:lpstr>ZIPList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Stark</dc:creator>
  <cp:lastModifiedBy>Jacob Narup</cp:lastModifiedBy>
  <cp:lastPrinted>2023-02-22T15:11:15Z</cp:lastPrinted>
  <dcterms:created xsi:type="dcterms:W3CDTF">2023-01-27T15:51:57Z</dcterms:created>
  <dcterms:modified xsi:type="dcterms:W3CDTF">2024-02-08T21:24:54Z</dcterms:modified>
</cp:coreProperties>
</file>